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fundacaoibge-my.sharepoint.com/personal/thiego_ferreira_ibge_gov_br/Documents/PUBLICAÇÕES/MEI/Estatísticas Experimentais/Plano Tabular/"/>
    </mc:Choice>
  </mc:AlternateContent>
  <xr:revisionPtr revIDLastSave="198" documentId="8_{25CEF66D-F870-4817-AA9A-3CE04DDBD8DE}" xr6:coauthVersionLast="47" xr6:coauthVersionMax="47" xr10:uidLastSave="{CD2A489A-EDC3-49DF-B32C-514B9D083F0D}"/>
  <bookViews>
    <workbookView xWindow="-120" yWindow="-120" windowWidth="20730" windowHeight="11310" tabRatio="811" firstSheet="15" activeTab="22" xr2:uid="{8186E8CC-F0F5-4C21-BD35-88BE1FBB1D1C}"/>
  </bookViews>
  <sheets>
    <sheet name="Tabela 1" sheetId="9" r:id="rId1"/>
    <sheet name="Tabela 2" sheetId="46" r:id="rId2"/>
    <sheet name="Tabela 3 " sheetId="11" r:id="rId3"/>
    <sheet name="Tabela 4" sheetId="12" r:id="rId4"/>
    <sheet name="Tabela 5" sheetId="13" r:id="rId5"/>
    <sheet name="Tabela 6" sheetId="14" r:id="rId6"/>
    <sheet name="Tabela 7" sheetId="15" r:id="rId7"/>
    <sheet name="Tabela 8" sheetId="16" r:id="rId8"/>
    <sheet name="Tabela 9" sheetId="17" r:id="rId9"/>
    <sheet name="Tabela 9 vNovo Provisorio" sheetId="32" state="hidden" r:id="rId10"/>
    <sheet name="Tabela 10" sheetId="18" r:id="rId11"/>
    <sheet name="Tabela 11" sheetId="19" r:id="rId12"/>
    <sheet name="Tabela 12" sheetId="20" r:id="rId13"/>
    <sheet name="Tabela 13" sheetId="21" r:id="rId14"/>
    <sheet name="Tabela 14" sheetId="22" r:id="rId15"/>
    <sheet name="Tabela 15" sheetId="23" r:id="rId16"/>
    <sheet name="Tabela 16" sheetId="24" r:id="rId17"/>
    <sheet name="Tabela 17" sheetId="25" r:id="rId18"/>
    <sheet name="Tabela 18" sheetId="30" r:id="rId19"/>
    <sheet name="Tabela 19" sheetId="45" r:id="rId20"/>
    <sheet name="Tabela 20" sheetId="47" r:id="rId21"/>
    <sheet name="Tabela 21" sheetId="28" r:id="rId22"/>
    <sheet name="Tabela 22" sheetId="29" r:id="rId23"/>
    <sheet name="Tabela 23" sheetId="27" r:id="rId24"/>
    <sheet name="Tabela 24" sheetId="48" r:id="rId25"/>
    <sheet name="Tabela 25" sheetId="36" r:id="rId26"/>
  </sheets>
  <definedNames>
    <definedName name="_xlnm._FilterDatabase" localSheetId="15" hidden="1">'Tabela 15'!$B$4:$H$4</definedName>
    <definedName name="_xlnm._FilterDatabase" localSheetId="1" hidden="1">'Tabela 2'!$B$6:$M$6</definedName>
    <definedName name="_xlnm._FilterDatabase" localSheetId="23" hidden="1">'Tabela 23'!#REF!</definedName>
    <definedName name="_xlnm._FilterDatabase" localSheetId="25" hidden="1">'Tabela 25'!$C$2:$G$224</definedName>
    <definedName name="_xlnm._FilterDatabase" localSheetId="3" hidden="1">'Tabela 4'!$C$3:$E$3</definedName>
    <definedName name="_xlnm._FilterDatabase" localSheetId="7" hidden="1">'Tabela 8'!#REF!</definedName>
    <definedName name="_xlnm._FilterDatabase" localSheetId="8" hidden="1">'Tabela 9'!#REF!</definedName>
    <definedName name="_xlnm._FilterDatabase" localSheetId="9" hidden="1">'Tabela 9 vNovo Provisorio'!#REF!</definedName>
    <definedName name="_Ref145429241" localSheetId="20">'Tabela 20'!$C$2</definedName>
    <definedName name="_xlnm.Print_Area" localSheetId="4">'Tabela 5'!$B$2:$F$8</definedName>
    <definedName name="ATIVIDADES_CNAE202017">#REF!</definedName>
    <definedName name="NATUREZA_JURÍDICA_FAIXA_PO_2017">#REF!</definedName>
    <definedName name="SEXO_ESCOLARIDADE_2017">#REF!</definedName>
    <definedName name="UF_2017">#REF!</definedName>
    <definedName name="ZZZZ">#REF!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46" l="1"/>
  <c r="N8" i="46"/>
  <c r="N9" i="46"/>
  <c r="N10" i="46"/>
  <c r="N11" i="46"/>
  <c r="N12" i="46"/>
  <c r="N13" i="46"/>
  <c r="N14" i="46"/>
  <c r="N15" i="46"/>
  <c r="N16" i="46"/>
  <c r="N17" i="46"/>
  <c r="N18" i="46"/>
  <c r="N19" i="46"/>
  <c r="N20" i="46"/>
  <c r="N21" i="46"/>
  <c r="N22" i="46"/>
  <c r="N6" i="46"/>
  <c r="D22" i="46"/>
  <c r="E22" i="46" s="1"/>
  <c r="E13" i="46"/>
  <c r="E10" i="46"/>
  <c r="E19" i="46"/>
  <c r="E11" i="46"/>
  <c r="E20" i="46"/>
  <c r="E17" i="46"/>
  <c r="E21" i="46"/>
  <c r="E16" i="46"/>
  <c r="E14" i="46"/>
  <c r="E12" i="46"/>
  <c r="E8" i="46"/>
  <c r="E9" i="46"/>
  <c r="E18" i="46"/>
  <c r="E15" i="46"/>
  <c r="E7" i="46"/>
  <c r="E6" i="46"/>
  <c r="D20" i="25"/>
  <c r="D19" i="25"/>
  <c r="D18" i="25"/>
  <c r="D17" i="25"/>
  <c r="D16" i="25"/>
  <c r="D15" i="25"/>
  <c r="D14" i="25"/>
  <c r="D11" i="25"/>
  <c r="D10" i="25"/>
  <c r="D9" i="25"/>
  <c r="D8" i="25"/>
  <c r="C13" i="24" l="1"/>
  <c r="J19" i="27"/>
  <c r="C8" i="15" l="1"/>
  <c r="F9" i="17"/>
  <c r="C9" i="17"/>
  <c r="I8" i="16"/>
  <c r="F8" i="16"/>
  <c r="C8" i="16"/>
  <c r="C9" i="18" l="1"/>
  <c r="O11" i="30" l="1"/>
  <c r="H11" i="30"/>
  <c r="F11" i="30"/>
  <c r="H19" i="23"/>
  <c r="H20" i="23"/>
  <c r="H18" i="23"/>
  <c r="G20" i="23"/>
  <c r="G18" i="23"/>
  <c r="G19" i="23"/>
  <c r="G17" i="23"/>
  <c r="F4" i="23"/>
  <c r="D4" i="23"/>
  <c r="C5" i="20" l="1"/>
  <c r="D9" i="20" l="1"/>
  <c r="D6" i="20"/>
  <c r="D10" i="20"/>
  <c r="D8" i="20"/>
  <c r="D7" i="20"/>
  <c r="D5" i="20"/>
  <c r="D11" i="20"/>
  <c r="C7" i="19"/>
  <c r="C6" i="19" s="1"/>
  <c r="E16" i="15"/>
  <c r="E17" i="15"/>
  <c r="E18" i="15"/>
  <c r="E19" i="15"/>
  <c r="E11" i="15"/>
  <c r="E12" i="15"/>
  <c r="E13" i="15"/>
  <c r="E14" i="15"/>
  <c r="E15" i="15"/>
  <c r="E10" i="15"/>
  <c r="E9" i="15"/>
  <c r="E8" i="15"/>
  <c r="C7" i="18" l="1"/>
  <c r="I16" i="30"/>
  <c r="I15" i="30"/>
  <c r="I14" i="30"/>
  <c r="I13" i="30"/>
  <c r="I12" i="30"/>
  <c r="I11" i="30"/>
  <c r="I10" i="30"/>
  <c r="I9" i="30"/>
  <c r="I8" i="30"/>
  <c r="I7" i="30"/>
  <c r="I6" i="30"/>
  <c r="G16" i="30"/>
  <c r="G15" i="30"/>
  <c r="G14" i="30"/>
  <c r="G13" i="30"/>
  <c r="G12" i="30"/>
  <c r="G11" i="30"/>
  <c r="G10" i="30"/>
  <c r="G9" i="30"/>
  <c r="G8" i="30"/>
  <c r="G7" i="30"/>
  <c r="G6" i="30"/>
  <c r="L9" i="32"/>
  <c r="L8" i="32"/>
  <c r="M14" i="32" s="1"/>
  <c r="S7" i="32"/>
  <c r="N9" i="32" l="1"/>
  <c r="N11" i="32"/>
  <c r="N10" i="32"/>
  <c r="M11" i="32"/>
  <c r="M12" i="32"/>
  <c r="N12" i="32"/>
  <c r="M9" i="32"/>
  <c r="M13" i="32"/>
  <c r="M8" i="32"/>
  <c r="N13" i="32"/>
  <c r="M10" i="32"/>
  <c r="P8" i="32"/>
  <c r="S8" i="32"/>
  <c r="N14" i="27" l="1"/>
  <c r="M14" i="27"/>
  <c r="L14" i="27"/>
  <c r="K14" i="27"/>
  <c r="J14" i="27"/>
  <c r="N13" i="27"/>
  <c r="M13" i="27"/>
  <c r="L13" i="27"/>
  <c r="K13" i="27"/>
  <c r="J13" i="27"/>
  <c r="N12" i="27"/>
  <c r="M12" i="27"/>
  <c r="L12" i="27"/>
  <c r="K12" i="27"/>
  <c r="J12" i="27"/>
  <c r="N11" i="27"/>
  <c r="M11" i="27"/>
  <c r="L11" i="27"/>
  <c r="K11" i="27"/>
  <c r="J11" i="27"/>
  <c r="I14" i="27"/>
  <c r="I13" i="27"/>
  <c r="I12" i="27"/>
  <c r="I11" i="27"/>
  <c r="P12" i="30" l="1"/>
  <c r="P13" i="30"/>
  <c r="P14" i="30"/>
  <c r="P15" i="30"/>
  <c r="P16" i="30"/>
  <c r="P11" i="30"/>
  <c r="P9" i="30"/>
  <c r="P10" i="30"/>
  <c r="P8" i="30"/>
  <c r="P7" i="30"/>
  <c r="D11" i="30"/>
  <c r="D6" i="30" s="1"/>
  <c r="E16" i="30" s="1"/>
  <c r="E15" i="30" l="1"/>
  <c r="E7" i="30"/>
  <c r="E14" i="30"/>
  <c r="E8" i="30"/>
  <c r="E13" i="30"/>
  <c r="E10" i="30"/>
  <c r="E9" i="30"/>
  <c r="E11" i="30"/>
  <c r="E12" i="30"/>
  <c r="C7" i="21"/>
  <c r="E11" i="21" s="1"/>
  <c r="E9" i="21" l="1"/>
  <c r="E10" i="21"/>
  <c r="C6" i="21"/>
  <c r="E8" i="21"/>
  <c r="N16" i="30" l="1"/>
  <c r="N15" i="30"/>
  <c r="N14" i="30"/>
  <c r="N13" i="30"/>
  <c r="N12" i="30"/>
  <c r="N11" i="30"/>
  <c r="N10" i="30"/>
  <c r="N9" i="30"/>
  <c r="N8" i="30"/>
  <c r="N7" i="30"/>
  <c r="N6" i="30"/>
  <c r="L16" i="30"/>
  <c r="M16" i="30" s="1"/>
  <c r="L15" i="30"/>
  <c r="L14" i="30"/>
  <c r="L13" i="30"/>
  <c r="J13" i="30" s="1"/>
  <c r="K13" i="30" s="1"/>
  <c r="L12" i="30"/>
  <c r="L11" i="30"/>
  <c r="J11" i="30" s="1"/>
  <c r="K11" i="30" s="1"/>
  <c r="L10" i="30"/>
  <c r="J10" i="30" s="1"/>
  <c r="K10" i="30" s="1"/>
  <c r="L9" i="30"/>
  <c r="L8" i="30"/>
  <c r="M8" i="30" s="1"/>
  <c r="L7" i="30"/>
  <c r="L6" i="30"/>
  <c r="J6" i="30" s="1"/>
  <c r="K6" i="30" s="1"/>
  <c r="C13" i="25"/>
  <c r="C7" i="25"/>
  <c r="C8" i="29"/>
  <c r="D7" i="28"/>
  <c r="E23" i="28" s="1"/>
  <c r="T28" i="27"/>
  <c r="S28" i="27"/>
  <c r="R28" i="27"/>
  <c r="Q28" i="27"/>
  <c r="P28" i="27"/>
  <c r="T27" i="27"/>
  <c r="S27" i="27"/>
  <c r="R27" i="27"/>
  <c r="Q27" i="27"/>
  <c r="P27" i="27"/>
  <c r="T24" i="27"/>
  <c r="S24" i="27"/>
  <c r="R24" i="27"/>
  <c r="Q24" i="27"/>
  <c r="P24" i="27"/>
  <c r="T23" i="27"/>
  <c r="S23" i="27"/>
  <c r="R23" i="27"/>
  <c r="Q23" i="27"/>
  <c r="P23" i="27"/>
  <c r="T22" i="27"/>
  <c r="S22" i="27"/>
  <c r="R22" i="27"/>
  <c r="Q22" i="27"/>
  <c r="P22" i="27"/>
  <c r="T21" i="27"/>
  <c r="S21" i="27"/>
  <c r="R21" i="27"/>
  <c r="Q21" i="27"/>
  <c r="P21" i="27"/>
  <c r="T20" i="27"/>
  <c r="S20" i="27"/>
  <c r="R20" i="27"/>
  <c r="Q20" i="27"/>
  <c r="P20" i="27"/>
  <c r="T19" i="27"/>
  <c r="S19" i="27"/>
  <c r="R19" i="27"/>
  <c r="Q19" i="27"/>
  <c r="P19" i="27"/>
  <c r="T17" i="27"/>
  <c r="S17" i="27"/>
  <c r="R17" i="27"/>
  <c r="Q17" i="27"/>
  <c r="P17" i="27"/>
  <c r="T16" i="27"/>
  <c r="S16" i="27"/>
  <c r="R16" i="27"/>
  <c r="Q16" i="27"/>
  <c r="P16" i="27"/>
  <c r="T14" i="27"/>
  <c r="S14" i="27"/>
  <c r="R14" i="27"/>
  <c r="Q14" i="27"/>
  <c r="P14" i="27"/>
  <c r="T13" i="27"/>
  <c r="S13" i="27"/>
  <c r="R13" i="27"/>
  <c r="Q13" i="27"/>
  <c r="P13" i="27"/>
  <c r="T12" i="27"/>
  <c r="S12" i="27"/>
  <c r="R12" i="27"/>
  <c r="Q12" i="27"/>
  <c r="P12" i="27"/>
  <c r="T11" i="27"/>
  <c r="S11" i="27"/>
  <c r="R11" i="27"/>
  <c r="Q11" i="27"/>
  <c r="P11" i="27"/>
  <c r="T9" i="27"/>
  <c r="S9" i="27"/>
  <c r="R9" i="27"/>
  <c r="Q9" i="27"/>
  <c r="P9" i="27"/>
  <c r="T8" i="27"/>
  <c r="S8" i="27"/>
  <c r="R8" i="27"/>
  <c r="Q8" i="27"/>
  <c r="P8" i="27"/>
  <c r="N29" i="27"/>
  <c r="M29" i="27"/>
  <c r="L29" i="27"/>
  <c r="K29" i="27"/>
  <c r="J29" i="27"/>
  <c r="I29" i="27"/>
  <c r="O28" i="27"/>
  <c r="N28" i="27"/>
  <c r="M28" i="27"/>
  <c r="L28" i="27"/>
  <c r="K28" i="27"/>
  <c r="J28" i="27"/>
  <c r="I28" i="27"/>
  <c r="O27" i="27"/>
  <c r="N27" i="27"/>
  <c r="M27" i="27"/>
  <c r="L27" i="27"/>
  <c r="K27" i="27"/>
  <c r="J27" i="27"/>
  <c r="I27" i="27"/>
  <c r="N25" i="27"/>
  <c r="M25" i="27"/>
  <c r="L25" i="27"/>
  <c r="K25" i="27"/>
  <c r="J25" i="27"/>
  <c r="I25" i="27"/>
  <c r="O24" i="27"/>
  <c r="N24" i="27"/>
  <c r="M24" i="27"/>
  <c r="L24" i="27"/>
  <c r="K24" i="27"/>
  <c r="J24" i="27"/>
  <c r="I24" i="27"/>
  <c r="O23" i="27"/>
  <c r="N23" i="27"/>
  <c r="M23" i="27"/>
  <c r="L23" i="27"/>
  <c r="K23" i="27"/>
  <c r="J23" i="27"/>
  <c r="I23" i="27"/>
  <c r="O22" i="27"/>
  <c r="N22" i="27"/>
  <c r="M22" i="27"/>
  <c r="L22" i="27"/>
  <c r="K22" i="27"/>
  <c r="J22" i="27"/>
  <c r="I22" i="27"/>
  <c r="O21" i="27"/>
  <c r="N21" i="27"/>
  <c r="M21" i="27"/>
  <c r="L21" i="27"/>
  <c r="K21" i="27"/>
  <c r="J21" i="27"/>
  <c r="I21" i="27"/>
  <c r="O20" i="27"/>
  <c r="N20" i="27"/>
  <c r="M20" i="27"/>
  <c r="L20" i="27"/>
  <c r="K20" i="27"/>
  <c r="J20" i="27"/>
  <c r="I20" i="27"/>
  <c r="O19" i="27"/>
  <c r="N19" i="27"/>
  <c r="M19" i="27"/>
  <c r="L19" i="27"/>
  <c r="K19" i="27"/>
  <c r="I19" i="27"/>
  <c r="O17" i="27"/>
  <c r="N17" i="27"/>
  <c r="M17" i="27"/>
  <c r="L17" i="27"/>
  <c r="K17" i="27"/>
  <c r="J17" i="27"/>
  <c r="I17" i="27"/>
  <c r="O16" i="27"/>
  <c r="N16" i="27"/>
  <c r="M16" i="27"/>
  <c r="L16" i="27"/>
  <c r="K16" i="27"/>
  <c r="J16" i="27"/>
  <c r="I16" i="27"/>
  <c r="O14" i="27"/>
  <c r="O13" i="27"/>
  <c r="O12" i="27"/>
  <c r="O11" i="27"/>
  <c r="O9" i="27"/>
  <c r="N9" i="27"/>
  <c r="M9" i="27"/>
  <c r="L9" i="27"/>
  <c r="K9" i="27"/>
  <c r="J9" i="27"/>
  <c r="I9" i="27"/>
  <c r="O8" i="27"/>
  <c r="N8" i="27"/>
  <c r="M8" i="27"/>
  <c r="L8" i="27"/>
  <c r="K8" i="27"/>
  <c r="J8" i="27"/>
  <c r="I8" i="27"/>
  <c r="E19" i="25"/>
  <c r="E18" i="25"/>
  <c r="E17" i="25"/>
  <c r="E16" i="25"/>
  <c r="E15" i="25"/>
  <c r="E14" i="25"/>
  <c r="E10" i="25"/>
  <c r="E9" i="25"/>
  <c r="E8" i="25"/>
  <c r="E13" i="25" l="1"/>
  <c r="M10" i="30"/>
  <c r="M13" i="30"/>
  <c r="M12" i="30"/>
  <c r="M11" i="30"/>
  <c r="M6" i="30"/>
  <c r="J16" i="30"/>
  <c r="K16" i="30" s="1"/>
  <c r="M9" i="30"/>
  <c r="J8" i="30"/>
  <c r="K8" i="30" s="1"/>
  <c r="E7" i="25"/>
  <c r="J9" i="30"/>
  <c r="K9" i="30" s="1"/>
  <c r="J12" i="30"/>
  <c r="K12" i="30" s="1"/>
  <c r="J14" i="30"/>
  <c r="K14" i="30" s="1"/>
  <c r="J7" i="30"/>
  <c r="K7" i="30" s="1"/>
  <c r="J15" i="30"/>
  <c r="K15" i="30" s="1"/>
  <c r="M14" i="30"/>
  <c r="M15" i="30"/>
  <c r="M7" i="30"/>
  <c r="E18" i="28"/>
  <c r="E15" i="28"/>
  <c r="E8" i="28"/>
  <c r="E16" i="28"/>
  <c r="E9" i="28"/>
  <c r="E17" i="28"/>
  <c r="E10" i="28"/>
  <c r="E11" i="28"/>
  <c r="E19" i="28"/>
  <c r="E12" i="28"/>
  <c r="E20" i="28"/>
  <c r="E13" i="28"/>
  <c r="E21" i="28"/>
  <c r="E7" i="28"/>
  <c r="E14" i="28"/>
  <c r="E22" i="28"/>
  <c r="H17" i="23"/>
  <c r="H16" i="23"/>
  <c r="H15" i="23"/>
  <c r="H14" i="23"/>
  <c r="H13" i="23"/>
  <c r="H12" i="23"/>
  <c r="H11" i="23"/>
  <c r="H10" i="23"/>
  <c r="H9" i="23"/>
  <c r="H8" i="23"/>
  <c r="H7" i="23"/>
  <c r="H6" i="23"/>
  <c r="H5" i="23"/>
  <c r="G16" i="23"/>
  <c r="E19" i="23"/>
  <c r="E8" i="23" l="1"/>
  <c r="G10" i="23"/>
  <c r="H4" i="23"/>
  <c r="E12" i="23"/>
  <c r="G5" i="23"/>
  <c r="E10" i="23"/>
  <c r="G7" i="23"/>
  <c r="G14" i="23"/>
  <c r="E7" i="23"/>
  <c r="E14" i="23"/>
  <c r="G4" i="23"/>
  <c r="G11" i="23"/>
  <c r="E5" i="23"/>
  <c r="G12" i="23"/>
  <c r="E17" i="23"/>
  <c r="D13" i="25"/>
  <c r="D7" i="25"/>
  <c r="E15" i="23"/>
  <c r="G8" i="23"/>
  <c r="E20" i="23"/>
  <c r="G15" i="23"/>
  <c r="E18" i="23"/>
  <c r="E6" i="23"/>
  <c r="E13" i="23"/>
  <c r="E4" i="23"/>
  <c r="G6" i="23"/>
  <c r="E9" i="23"/>
  <c r="G13" i="23"/>
  <c r="E16" i="23"/>
  <c r="G9" i="23"/>
  <c r="E11" i="23"/>
  <c r="D13" i="21" l="1"/>
  <c r="D7" i="21"/>
  <c r="D12" i="21"/>
  <c r="D8" i="21"/>
  <c r="D9" i="21"/>
  <c r="D10" i="21"/>
  <c r="D11" i="21"/>
  <c r="D6" i="21"/>
  <c r="E9" i="20" l="1"/>
  <c r="E10" i="20" l="1"/>
  <c r="E8" i="20"/>
  <c r="E7" i="20"/>
  <c r="E6" i="20"/>
  <c r="D7" i="19"/>
  <c r="E8" i="19"/>
  <c r="E9" i="19" s="1"/>
  <c r="E10" i="19" s="1"/>
  <c r="E11" i="19" s="1"/>
  <c r="E12" i="19" s="1"/>
  <c r="E13" i="19" s="1"/>
  <c r="E14" i="19" s="1"/>
  <c r="D13" i="19" l="1"/>
  <c r="D12" i="19"/>
  <c r="D11" i="19"/>
  <c r="D9" i="19"/>
  <c r="D6" i="19"/>
  <c r="D8" i="19"/>
  <c r="D14" i="19"/>
  <c r="D15" i="19"/>
  <c r="D10" i="19"/>
  <c r="I9" i="17" l="1"/>
  <c r="I8" i="17"/>
  <c r="K12" i="17" s="1"/>
  <c r="F8" i="17"/>
  <c r="G14" i="17" s="1"/>
  <c r="C8" i="17"/>
  <c r="E10" i="17" l="1"/>
  <c r="E9" i="17"/>
  <c r="J9" i="17"/>
  <c r="K9" i="17"/>
  <c r="J14" i="17"/>
  <c r="G10" i="17"/>
  <c r="D11" i="17"/>
  <c r="J11" i="17"/>
  <c r="G12" i="17"/>
  <c r="H9" i="17"/>
  <c r="H12" i="17"/>
  <c r="J13" i="17"/>
  <c r="G8" i="17"/>
  <c r="K13" i="17"/>
  <c r="D13" i="17"/>
  <c r="G9" i="17"/>
  <c r="H10" i="17"/>
  <c r="K11" i="17"/>
  <c r="E13" i="17"/>
  <c r="J8" i="17"/>
  <c r="J10" i="17"/>
  <c r="D12" i="17"/>
  <c r="G13" i="17"/>
  <c r="K10" i="17"/>
  <c r="E12" i="17"/>
  <c r="H13" i="17"/>
  <c r="D8" i="17"/>
  <c r="D9" i="17"/>
  <c r="D10" i="17"/>
  <c r="G11" i="17"/>
  <c r="J12" i="17"/>
  <c r="D14" i="17"/>
  <c r="E11" i="17"/>
  <c r="H11" i="17"/>
  <c r="K11" i="16" l="1"/>
  <c r="H10" i="16"/>
  <c r="E14" i="16"/>
  <c r="D13" i="16" l="1"/>
  <c r="G9" i="16"/>
  <c r="J10" i="16"/>
  <c r="D12" i="16"/>
  <c r="G14" i="16"/>
  <c r="G13" i="16"/>
  <c r="J9" i="16"/>
  <c r="D11" i="16"/>
  <c r="G12" i="16"/>
  <c r="J14" i="16"/>
  <c r="K14" i="16"/>
  <c r="J13" i="16"/>
  <c r="D10" i="16"/>
  <c r="G11" i="16"/>
  <c r="J12" i="16"/>
  <c r="D15" i="16"/>
  <c r="E13" i="16"/>
  <c r="E12" i="16"/>
  <c r="D8" i="16"/>
  <c r="K9" i="16"/>
  <c r="H12" i="16"/>
  <c r="G8" i="16"/>
  <c r="K13" i="16"/>
  <c r="E10" i="16"/>
  <c r="H11" i="16"/>
  <c r="K12" i="16"/>
  <c r="G15" i="16"/>
  <c r="D9" i="16"/>
  <c r="G10" i="16"/>
  <c r="J11" i="16"/>
  <c r="D14" i="16"/>
  <c r="J15" i="16"/>
  <c r="H9" i="16"/>
  <c r="K10" i="16"/>
  <c r="H14" i="16"/>
  <c r="H13" i="16"/>
  <c r="E11" i="16"/>
  <c r="J8" i="16"/>
  <c r="E9" i="16"/>
  <c r="C6" i="15" l="1"/>
  <c r="D10" i="15" l="1"/>
  <c r="D18" i="15"/>
  <c r="D8" i="15"/>
  <c r="D13" i="15"/>
  <c r="D6" i="15"/>
  <c r="D15" i="15"/>
  <c r="D16" i="15"/>
  <c r="D17" i="15"/>
  <c r="D11" i="15"/>
  <c r="D19" i="15"/>
  <c r="D12" i="15"/>
  <c r="D7" i="15"/>
  <c r="D14" i="15"/>
  <c r="D9" i="15"/>
  <c r="C5" i="13" l="1"/>
  <c r="D5" i="13" s="1"/>
  <c r="D7" i="13" l="1"/>
  <c r="D8" i="13"/>
  <c r="E20" i="12"/>
  <c r="E19" i="12"/>
  <c r="E18" i="12"/>
  <c r="E17" i="12"/>
  <c r="E16" i="12"/>
  <c r="E15" i="12"/>
  <c r="E13" i="12"/>
  <c r="E12" i="12"/>
  <c r="E11" i="12"/>
  <c r="E10" i="12"/>
  <c r="E9" i="12"/>
  <c r="E8" i="12"/>
  <c r="E7" i="12"/>
  <c r="E6" i="12"/>
  <c r="E5" i="12"/>
  <c r="E4" i="12"/>
  <c r="D20" i="12"/>
  <c r="D19" i="12"/>
  <c r="D18" i="12"/>
  <c r="D17" i="12"/>
  <c r="D16" i="12"/>
  <c r="D15" i="12"/>
  <c r="D14" i="12"/>
  <c r="D13" i="12"/>
  <c r="D12" i="12"/>
  <c r="D11" i="12"/>
  <c r="D10" i="12"/>
  <c r="D9" i="12"/>
  <c r="D8" i="12"/>
  <c r="D7" i="12"/>
  <c r="D6" i="12"/>
  <c r="D5" i="12"/>
  <c r="D4" i="12"/>
  <c r="E8" i="18" l="1"/>
  <c r="E10" i="18" s="1"/>
  <c r="E11" i="18" s="1"/>
  <c r="E12" i="18" s="1"/>
  <c r="E13" i="18" s="1"/>
  <c r="E14" i="18" s="1"/>
  <c r="E15" i="18" s="1"/>
  <c r="E16" i="18" s="1"/>
  <c r="E17" i="18" s="1"/>
  <c r="D17" i="18"/>
  <c r="D14" i="18"/>
  <c r="D15" i="18"/>
  <c r="D12" i="18"/>
  <c r="D9" i="18"/>
  <c r="D11" i="18"/>
  <c r="D13" i="18"/>
  <c r="D10" i="18"/>
  <c r="D8" i="18"/>
  <c r="D16" i="18"/>
  <c r="D7" i="18"/>
  <c r="C18" i="18"/>
  <c r="D18" i="18" s="1"/>
</calcChain>
</file>

<file path=xl/sharedStrings.xml><?xml version="1.0" encoding="utf-8"?>
<sst xmlns="http://schemas.openxmlformats.org/spreadsheetml/2006/main" count="1286" uniqueCount="619">
  <si>
    <t xml:space="preserve">Tabela 1 - Número de MEIs, de seus empregados e participação no total de ocupações, segundo os grandes grupamentos de atividades econômicas – Brasil – 2021 </t>
  </si>
  <si>
    <t>Grandes Grupamentos de Atividades Econômicas (1)</t>
  </si>
  <si>
    <t>Seções agregadas da CNAE 2.0</t>
  </si>
  <si>
    <t>Número de MEIs</t>
  </si>
  <si>
    <t>Empregados dos MEIs</t>
  </si>
  <si>
    <t>Participações nas ocupações (2)</t>
  </si>
  <si>
    <t>Absoluto</t>
  </si>
  <si>
    <t>Relativo (%)</t>
  </si>
  <si>
    <t>Total</t>
  </si>
  <si>
    <t>A a U</t>
  </si>
  <si>
    <t>Agricultura, pecuária, produção florestal, pesca e aquicultura</t>
  </si>
  <si>
    <t>A</t>
  </si>
  <si>
    <t>Indústria geral</t>
  </si>
  <si>
    <t>B a E</t>
  </si>
  <si>
    <t>Indústrias extrativas</t>
  </si>
  <si>
    <t>B</t>
  </si>
  <si>
    <t>-</t>
  </si>
  <si>
    <t>Indústrias de transformação</t>
  </si>
  <si>
    <t>C</t>
  </si>
  <si>
    <t>Água, esgoto, atividades de gestão de resíduos e descontaminação</t>
  </si>
  <si>
    <t>E</t>
  </si>
  <si>
    <t>Construção</t>
  </si>
  <si>
    <t>F</t>
  </si>
  <si>
    <t>Comércio; reparação de veículos automotores e motocicletas</t>
  </si>
  <si>
    <t>G</t>
  </si>
  <si>
    <t>Serviços</t>
  </si>
  <si>
    <t>H a U</t>
  </si>
  <si>
    <t>Transporte, armazenagem e correio</t>
  </si>
  <si>
    <t>H</t>
  </si>
  <si>
    <t>Alojamento e alimentação</t>
  </si>
  <si>
    <t>I</t>
  </si>
  <si>
    <t>Informação, comunicação e atividades financeiras, imobiliárias, profissionais e administrativas</t>
  </si>
  <si>
    <t>J a N</t>
  </si>
  <si>
    <t>Administração pública, defesa e seguridade social, educação, saúde humana e serviços sociais</t>
  </si>
  <si>
    <t>O a Q</t>
  </si>
  <si>
    <t>Outros serviços</t>
  </si>
  <si>
    <t>R a U</t>
  </si>
  <si>
    <t xml:space="preserve">Tabela 2 - Número de MEIs, de seus empregados e participação no total de ocupações, segundo as 15 classes CNAE 2.0 mais representativas, em ordem decrescente de participação - Brasil - 2021 </t>
  </si>
  <si>
    <t>Classes CNAE 2.0 (1)</t>
  </si>
  <si>
    <t>Total de Ocupações MEI</t>
  </si>
  <si>
    <t xml:space="preserve"> MEIs</t>
  </si>
  <si>
    <t>Empresas e outras organizações</t>
  </si>
  <si>
    <t>Pessoal Ocupado</t>
  </si>
  <si>
    <t>Participações nas ocupações (1)</t>
  </si>
  <si>
    <t>Cabeleireiros e outras atividades de tratamento de beleza</t>
  </si>
  <si>
    <t>Comércio varejista de artigos do vestuário e acessórios</t>
  </si>
  <si>
    <t>Restaurantes e outros estabelecimentos de serviços de alimentação e bebidas</t>
  </si>
  <si>
    <t>Serviços especializados para construção não especificados anteriormente</t>
  </si>
  <si>
    <t>Atividades de publicidade não especificadas anteriormente</t>
  </si>
  <si>
    <t>Serviços de catering, bufê e outros serviços de comida preparada</t>
  </si>
  <si>
    <t>Manutenção e reparação de veículos automotores</t>
  </si>
  <si>
    <t>Atividades de ensino não especificadas anteriormente</t>
  </si>
  <si>
    <t>Transporte rodoviário de carga</t>
  </si>
  <si>
    <t>Comércio varejista de outros produtos novos não especificados anteriormente</t>
  </si>
  <si>
    <t>Comércio varejista de mercadorias em geral, com predominância de produtos alimentícios - minimercados, mercearias e armazéns</t>
  </si>
  <si>
    <t>Obras de acabamento</t>
  </si>
  <si>
    <t>Confecção de peças de vestuário, exceto roupas íntimas</t>
  </si>
  <si>
    <t>Comércio varejista de bebidas</t>
  </si>
  <si>
    <t>Fotocópias, preparação de documentos e outros serviços especializados de apoio administrativo</t>
  </si>
  <si>
    <t>Outros</t>
  </si>
  <si>
    <t>Tabela 3 - Número de MEIs segundo o tempo e ano de filiação - Brasil - 2021 </t>
  </si>
  <si>
    <t>Tempo de 
filiação</t>
  </si>
  <si>
    <t>Anos de filiação ao MEI</t>
  </si>
  <si>
    <t>Acumulado (%)</t>
  </si>
  <si>
    <t xml:space="preserve"> 13 194 470</t>
  </si>
  <si>
    <t>..</t>
  </si>
  <si>
    <t>Até 1 ano</t>
  </si>
  <si>
    <t xml:space="preserve"> 2 895 034</t>
  </si>
  <si>
    <t>De 1 a 2 anos</t>
  </si>
  <si>
    <t xml:space="preserve"> 2 199 198</t>
  </si>
  <si>
    <t>De 2 a 3 anos</t>
  </si>
  <si>
    <t xml:space="preserve"> 1 917 926</t>
  </si>
  <si>
    <t>De 3 a 4 anos</t>
  </si>
  <si>
    <t xml:space="preserve"> 1 413 408</t>
  </si>
  <si>
    <t>De 4 a 5 anos</t>
  </si>
  <si>
    <t xml:space="preserve"> 1 083 831</t>
  </si>
  <si>
    <t>De 5 a 6 anos</t>
  </si>
  <si>
    <t xml:space="preserve">  920 559</t>
  </si>
  <si>
    <t>De 6 a 7 anos</t>
  </si>
  <si>
    <t xml:space="preserve">  849 954</t>
  </si>
  <si>
    <t>De 7 a 8 anos</t>
  </si>
  <si>
    <t xml:space="preserve">  533 134</t>
  </si>
  <si>
    <t>De 8 a 9 anos</t>
  </si>
  <si>
    <t xml:space="preserve">  448 468</t>
  </si>
  <si>
    <t>De 9 a 10 anos</t>
  </si>
  <si>
    <t xml:space="preserve">  363 672</t>
  </si>
  <si>
    <t>De 10 a 11 anos</t>
  </si>
  <si>
    <t xml:space="preserve">  303 914</t>
  </si>
  <si>
    <t>De 11 a 12 anos</t>
  </si>
  <si>
    <t xml:space="preserve">  249 729</t>
  </si>
  <si>
    <t>De 12 a 13 anos</t>
  </si>
  <si>
    <t xml:space="preserve">  15 643</t>
  </si>
  <si>
    <t xml:space="preserve">Fonte: IBGE, Diretoria de Pesquisas, Coordenação de Cadastros e Classificações. </t>
  </si>
  <si>
    <t>Tabela 4 – Proporção de MEIs que atuam na própria residência, segundo as seções de CNAE 2.0 – Brasil - 2021 </t>
  </si>
  <si>
    <t>Seções CNAE 2.0</t>
  </si>
  <si>
    <t>Atua na residência
 (%)</t>
  </si>
  <si>
    <t>Participação no total de MEI
 (%)</t>
  </si>
  <si>
    <t>J Informação e comunicação</t>
  </si>
  <si>
    <t>P Educação</t>
  </si>
  <si>
    <t>H Transporte, armazenagem e correio</t>
  </si>
  <si>
    <t>R Artes, cultura, esporte e recreação</t>
  </si>
  <si>
    <t>N Atividades administrativas e serviços complementares</t>
  </si>
  <si>
    <t>M Atividades profissionais, científicas e técnicas</t>
  </si>
  <si>
    <t>C Indústrias de transformação</t>
  </si>
  <si>
    <t>Q Saúde humana e serviços sociais</t>
  </si>
  <si>
    <t>T Serviços domésticos</t>
  </si>
  <si>
    <t>F Construção</t>
  </si>
  <si>
    <t>S Outras atividades de serviços</t>
  </si>
  <si>
    <t>G Comércio; reparação de veículos automotores e motocicletas</t>
  </si>
  <si>
    <t>E Água, esgoto, atividades de gestão de resíduos e descontaminação</t>
  </si>
  <si>
    <t>A Agricultura, pecuária, produção florestal, pesca e aquicultura</t>
  </si>
  <si>
    <t>I Alojamento e alimentação</t>
  </si>
  <si>
    <t>B Indústrias extrativas</t>
  </si>
  <si>
    <t xml:space="preserve">Tabela 5 – Número de MEIs e pessoal ocupado assalariado do CEMPRE, segundo o sexo - Brasil - 2021 </t>
  </si>
  <si>
    <t>Sexo</t>
  </si>
  <si>
    <t>MEIs</t>
  </si>
  <si>
    <t>Pessoal ocupado assalariado em 31.12 no CEMPRE</t>
  </si>
  <si>
    <t>Relativo 
(%)</t>
  </si>
  <si>
    <t>Relativo
 (%)</t>
  </si>
  <si>
    <t>Homem</t>
  </si>
  <si>
    <t>Mulher</t>
  </si>
  <si>
    <t xml:space="preserve">Tabela 6 – Faixa etária e média de idade dos MEIs, segundo o sexo – Brasil - 2021 </t>
  </si>
  <si>
    <t>Faixa etária</t>
  </si>
  <si>
    <t>Até 29 anos</t>
  </si>
  <si>
    <t>Homens</t>
  </si>
  <si>
    <t>Mulheres</t>
  </si>
  <si>
    <t>50 anos ou mais</t>
  </si>
  <si>
    <t>30 a 39 anos</t>
  </si>
  <si>
    <t>40 a 49 anos</t>
  </si>
  <si>
    <t>Média de idade</t>
  </si>
  <si>
    <t xml:space="preserve">Tabela 7 – Número de MEIs, segundo a nacionalidade – Brasil - 2021 </t>
  </si>
  <si>
    <t>Nacionalidade</t>
  </si>
  <si>
    <t>Estrangeiros</t>
  </si>
  <si>
    <t>Brasileira</t>
  </si>
  <si>
    <t>Estrangeira</t>
  </si>
  <si>
    <t>Bolívia</t>
  </si>
  <si>
    <t>Venezuela</t>
  </si>
  <si>
    <t>Colombia</t>
  </si>
  <si>
    <t>Argentina</t>
  </si>
  <si>
    <t>Haiti</t>
  </si>
  <si>
    <t>Peru</t>
  </si>
  <si>
    <t>Portugual</t>
  </si>
  <si>
    <t>Uruguai</t>
  </si>
  <si>
    <t>Senegal</t>
  </si>
  <si>
    <t>Paraguai</t>
  </si>
  <si>
    <t>Demais</t>
  </si>
  <si>
    <t xml:space="preserve">Tabela 8 – Número de MEIs, segundo a raça – Brasil – 2021  </t>
  </si>
  <si>
    <t>Raça ou cor</t>
  </si>
  <si>
    <t xml:space="preserve">Total </t>
  </si>
  <si>
    <t>Com informação</t>
  </si>
  <si>
    <t>Verificador</t>
  </si>
  <si>
    <t>Branca</t>
  </si>
  <si>
    <t>Preta</t>
  </si>
  <si>
    <t>Amarela</t>
  </si>
  <si>
    <t>Parda</t>
  </si>
  <si>
    <t>Indígena</t>
  </si>
  <si>
    <t>Não informado (1)</t>
  </si>
  <si>
    <t>Sem informação (2)</t>
  </si>
  <si>
    <t xml:space="preserve">Nota: Foram considerados “Sem informação” os erros de preenchimento. Inclusive, os registros sem informação de sexo (11.828 casos), podendo resultar na soma dos sexos na linha ser diferente da do total. </t>
  </si>
  <si>
    <t xml:space="preserve">Tabela 9 - Número de MEIs, segundo a escolaridade – Brasil – 2021 </t>
  </si>
  <si>
    <t>Grau de instrução</t>
  </si>
  <si>
    <t>Sem informação de  de sexo</t>
  </si>
  <si>
    <t>Sem nível superior</t>
  </si>
  <si>
    <t>Fundamental completo ou Médio incompleto</t>
  </si>
  <si>
    <t>Ensino Médio completo e superior incompleto</t>
  </si>
  <si>
    <t>Educação superior ou mais</t>
  </si>
  <si>
    <t>Sem informação (1)</t>
  </si>
  <si>
    <t>(1) “Sem informação” inclui quem não esteve no mercado de trabalho formal de 2009-2020 ou que seu empregador declarou na RAIS um grau de instrução inválido.</t>
  </si>
  <si>
    <t>Escolaridade</t>
  </si>
  <si>
    <t>Geral</t>
  </si>
  <si>
    <t>Sem informacao</t>
  </si>
  <si>
    <t>Analfabetos(independente de instrução), alfabetizado sem ter frequentado escola regular e fundamental incompleto</t>
  </si>
  <si>
    <t>Ver com Thiego se essa tabela vai ser utilizada nesse formato ou no formato anterior?</t>
  </si>
  <si>
    <t xml:space="preserve">Tabela 10 – Número de MEIs filiados em 2021, segundo o interstício de desligamento do emprego – Brasil – 2021  </t>
  </si>
  <si>
    <t>Faixa de ano de interstício</t>
  </si>
  <si>
    <t>Acumulado com vínculo prévio (%)</t>
  </si>
  <si>
    <t>Com vínculo prévio</t>
  </si>
  <si>
    <t>Sem interstício (0 ano)</t>
  </si>
  <si>
    <t>Com interstício</t>
  </si>
  <si>
    <t>Maior que 0 e até 1 ano</t>
  </si>
  <si>
    <t>Maior que 1 e até 2 anos</t>
  </si>
  <si>
    <t>Maior que 2 e até 3 anos</t>
  </si>
  <si>
    <t>Maior que 3 e até 4 anos</t>
  </si>
  <si>
    <t>Maior que 4 e até 5 anos</t>
  </si>
  <si>
    <t>Maior que 5 e até 8 anos</t>
  </si>
  <si>
    <t>Maior que 8 e até 10 anos</t>
  </si>
  <si>
    <t>Maior que 10 e até 13 anos</t>
  </si>
  <si>
    <t>Sem vínculo prévio ou não encontrado (1)</t>
  </si>
  <si>
    <t xml:space="preserve">Tabela 11 – Tempo de experiência prévia, desde 2009, no mercado formal de trabalho dos MEI filiados em 2021 – Brasil - 2021 </t>
  </si>
  <si>
    <t>Faixas de anos com experiência prévia desde 2009</t>
  </si>
  <si>
    <t>Acumulado com experiência (%)</t>
  </si>
  <si>
    <t>Com experiência prévia</t>
  </si>
  <si>
    <t>Maior que 5 e até 10 anos</t>
  </si>
  <si>
    <t>Sem experiência ou não encontrado (1)</t>
  </si>
  <si>
    <t xml:space="preserve">Tabela 12 – Número de MEIs filiados em 2021, segundo o tipo de vínculo formal prévio – Brasil - 2021 </t>
  </si>
  <si>
    <t>Tipo do vínculo</t>
  </si>
  <si>
    <t>Relativo com informação (%)</t>
  </si>
  <si>
    <t>Trabalhador urbano por tempo determinado e temporário</t>
  </si>
  <si>
    <t>Trabalhador urbano por tempo indeterminado</t>
  </si>
  <si>
    <t>Trabalhador rural</t>
  </si>
  <si>
    <t>Servidor (efetivo e não efetivo)</t>
  </si>
  <si>
    <t xml:space="preserve">Tabela 13 – Número de MEIs filiados em 2021, segundo a causa de desligamento do vínculo formal prévio – Brasil - 2021 </t>
  </si>
  <si>
    <t>Fora da RAIS</t>
  </si>
  <si>
    <t>Causa de desligamento</t>
  </si>
  <si>
    <t>Relativo de desligados (%)</t>
  </si>
  <si>
    <t>Desligados</t>
  </si>
  <si>
    <t>Empregador ou justa causa</t>
  </si>
  <si>
    <t>Empregado</t>
  </si>
  <si>
    <t>Outras causas</t>
  </si>
  <si>
    <t>Não desligados (1)</t>
  </si>
  <si>
    <t>Vendedor de comércio varejista</t>
  </si>
  <si>
    <t>Auxiliar de escritório</t>
  </si>
  <si>
    <t>Assistente administrativo</t>
  </si>
  <si>
    <t>Faxineiro</t>
  </si>
  <si>
    <t>Operador de caixa</t>
  </si>
  <si>
    <t>Alimentador de linha de produção</t>
  </si>
  <si>
    <t>Recepcionista, em geral</t>
  </si>
  <si>
    <t>Pedreiro</t>
  </si>
  <si>
    <t>Servente de obras</t>
  </si>
  <si>
    <t>Motorista de caminhão (rotas regionais e internacionais)</t>
  </si>
  <si>
    <t>Atendente de lanchonete</t>
  </si>
  <si>
    <t>Operador de telemarketing ativo e receptivo</t>
  </si>
  <si>
    <t>Repositor de mercadorias</t>
  </si>
  <si>
    <t>Cozinheiro geral</t>
  </si>
  <si>
    <t>Atendente de lojas e mercados</t>
  </si>
  <si>
    <t xml:space="preserve">Tabela 14 – Número de MEIs e distribuição por segmento econômico segundo as 15 mais representativas ocupações prévias em ordem decrescente - Brasil - 2021 </t>
  </si>
  <si>
    <t>Ocupações prévias (Classificação Brasileira de Ocupações - CBO)</t>
  </si>
  <si>
    <t>Distribuição dos MEIs por segmento econômico (%) (1)</t>
  </si>
  <si>
    <t>Agric., pecuária, prod. florestal, pesca e aquic.</t>
  </si>
  <si>
    <t>Comércio; rep. de veíc. automot. e motoc.</t>
  </si>
  <si>
    <t>Transp., armazen. e correio</t>
  </si>
  <si>
    <t>Alojam. e alim.</t>
  </si>
  <si>
    <t>Informação, comunicação e ativ. financeiras, imobiliárias, profissionais e adm.</t>
  </si>
  <si>
    <t>Adm. pública, defesa e seguridade social, educação, saúde hum. e serviços sociais</t>
  </si>
  <si>
    <t>Não informado (2)</t>
  </si>
  <si>
    <t xml:space="preserve">Tabela 15 – Número de MEIs das 15 classes CNAE 2.0 mais representativas, segundo indicador de vínculo prévio na mesma atividade econômica -  Brasil - 2021 </t>
  </si>
  <si>
    <t>Classes CNAE 2.0 (2)</t>
  </si>
  <si>
    <t>MEIs com experiência na mesma classe CNAE 2.0 (1)</t>
  </si>
  <si>
    <t>Distribuição (%)</t>
  </si>
  <si>
    <t>Participação 
(%)</t>
  </si>
  <si>
    <t>Atividades de malote e de entrega</t>
  </si>
  <si>
    <t>Atividades auxiliares dos transportes terrestres não especificadas anteriormente</t>
  </si>
  <si>
    <t>Tabela 16- Salário médio mensal do vínculo prévio de MEIs abertos em 2021, segundo variáveis selecionadas - Brasil - 2021</t>
  </si>
  <si>
    <t>Variáveis selecionadas</t>
  </si>
  <si>
    <t>Causas de desligamento</t>
  </si>
  <si>
    <t>Término do contrato de trabalho</t>
  </si>
  <si>
    <t>Educação Superior ou mais</t>
  </si>
  <si>
    <t xml:space="preserve">Tabela 17 – Número de MEIs que se filiaram ao regime em 2021, segundo a natureza jurídica e faixa de pessoal ocupado assalariado do empregador prévio – Brasil - 2021 </t>
  </si>
  <si>
    <t>Variáveis selecionadas (1)</t>
  </si>
  <si>
    <t>Natureza Jurídica</t>
  </si>
  <si>
    <t>Administração pública</t>
  </si>
  <si>
    <t>Entidades empresariais (2)</t>
  </si>
  <si>
    <t>Entidades sem fins lucrativos (2)</t>
  </si>
  <si>
    <t>Não informado (3)</t>
  </si>
  <si>
    <t>Faixa de pessoal ocupado assalariado em 31.12 (4)</t>
  </si>
  <si>
    <t>Sem pessoal (zero) (5)</t>
  </si>
  <si>
    <t>1 a 9 pessoas</t>
  </si>
  <si>
    <t>10 a 49 pessoas</t>
  </si>
  <si>
    <t>50 a 99 pessoas</t>
  </si>
  <si>
    <t>100 a 499 pessoas</t>
  </si>
  <si>
    <t>500 ou mais pessoas</t>
  </si>
  <si>
    <t>Sem informação (6)</t>
  </si>
  <si>
    <t>Número de MEIs em 2020</t>
  </si>
  <si>
    <t>Entradas</t>
  </si>
  <si>
    <t>Saídas</t>
  </si>
  <si>
    <t>Saldo (2)</t>
  </si>
  <si>
    <t>Dinamismo</t>
  </si>
  <si>
    <t>MEIs em 2021</t>
  </si>
  <si>
    <t>Taxa (%)</t>
  </si>
  <si>
    <t>Var. rel. anual (%)</t>
  </si>
  <si>
    <t xml:space="preserve">Tabela 19 – Taxa de sobrevivência de 5 anos para MEIs nascidos em 2014, segundo variáveis selecionadas  – Brasil - 2021 </t>
  </si>
  <si>
    <t>Taxa de sobrevivência 
(%)</t>
  </si>
  <si>
    <t>Sobreviventes em 5 anos</t>
  </si>
  <si>
    <t>Sobreviventes em 5 anos (Safra 2014)</t>
  </si>
  <si>
    <t>Segmentos econômicos</t>
  </si>
  <si>
    <t>Classes CNAE 2.0</t>
  </si>
  <si>
    <t xml:space="preserve">  Grandes Regiões
 Relativo (%)</t>
  </si>
  <si>
    <t>Região Sudeste</t>
  </si>
  <si>
    <t>Região Nordeste</t>
  </si>
  <si>
    <t>Região Sul</t>
  </si>
  <si>
    <t>Região Centro-Oeste</t>
  </si>
  <si>
    <t>Região Norte</t>
  </si>
  <si>
    <t>Serviços especializados para construção não especificados anteriormente (1)</t>
  </si>
  <si>
    <t>Confecção de peças do vestuário, exceto roupas íntimas</t>
  </si>
  <si>
    <t>Unidade Federativa (UF)</t>
  </si>
  <si>
    <t>Distribuição dos MEIs por Grandes Grupamentos de Atividades Econômicas (%) (1)</t>
  </si>
  <si>
    <t>N</t>
  </si>
  <si>
    <t>São Paulo</t>
  </si>
  <si>
    <t>Rio de Janeiro</t>
  </si>
  <si>
    <t>Minas Gerais</t>
  </si>
  <si>
    <t>Paraná</t>
  </si>
  <si>
    <t>Rio Grande do Sul</t>
  </si>
  <si>
    <t>Bahia</t>
  </si>
  <si>
    <t>Santa Catarina</t>
  </si>
  <si>
    <t>Goiás</t>
  </si>
  <si>
    <t>Pernambuco</t>
  </si>
  <si>
    <t>Ceará</t>
  </si>
  <si>
    <t>Espírito Santo</t>
  </si>
  <si>
    <t>Pará</t>
  </si>
  <si>
    <t>Distrito Federal</t>
  </si>
  <si>
    <t>Mato Grosso</t>
  </si>
  <si>
    <t>Mato Grosso do Sul</t>
  </si>
  <si>
    <t>Paraíba</t>
  </si>
  <si>
    <t>Rio Grande do Norte</t>
  </si>
  <si>
    <t>Maranhão</t>
  </si>
  <si>
    <t>Alagoas</t>
  </si>
  <si>
    <t>Amazonas</t>
  </si>
  <si>
    <t>Piauí</t>
  </si>
  <si>
    <t>Sergipe</t>
  </si>
  <si>
    <t>Tocantins</t>
  </si>
  <si>
    <t>Rondônia</t>
  </si>
  <si>
    <t>Amapá</t>
  </si>
  <si>
    <t>Acre</t>
  </si>
  <si>
    <t>Roraima</t>
  </si>
  <si>
    <t>Brasil</t>
  </si>
  <si>
    <t>Raça</t>
  </si>
  <si>
    <t>Participação no total de ocupados (%)</t>
  </si>
  <si>
    <t>Participação dos MEIs que atuam no endereço de residência (%)</t>
  </si>
  <si>
    <t>01211</t>
  </si>
  <si>
    <t>Horticultura</t>
  </si>
  <si>
    <t>01598</t>
  </si>
  <si>
    <t>Criação de animais não especificados anteriormente</t>
  </si>
  <si>
    <t>01610</t>
  </si>
  <si>
    <t>Atividades de apoio à agricultura</t>
  </si>
  <si>
    <t>01628</t>
  </si>
  <si>
    <t>Atividades de apoio à pecuária</t>
  </si>
  <si>
    <t>03213</t>
  </si>
  <si>
    <t>Aquicultura em água salgada e salobra</t>
  </si>
  <si>
    <t>03221</t>
  </si>
  <si>
    <t>Aquicultura em água doce</t>
  </si>
  <si>
    <t>08924</t>
  </si>
  <si>
    <t>Extração e refino de sal marinho e sal-gema</t>
  </si>
  <si>
    <t>Fabricação de produtos de carne</t>
  </si>
  <si>
    <t>Fabricação de conservas de frutas</t>
  </si>
  <si>
    <t>Fabricação de conservas de legumes e outros vegetais</t>
  </si>
  <si>
    <t>Fabricação de sucos de frutas, hortaliças e legumes</t>
  </si>
  <si>
    <t>Fabricação de laticínios</t>
  </si>
  <si>
    <t>Beneficiamento de arroz e fabricação de produtos do arroz</t>
  </si>
  <si>
    <t>Fabricação de farinha de mandioca e derivados</t>
  </si>
  <si>
    <t>Fabricação de farinha de milho e derivados, exceto óleos de milho</t>
  </si>
  <si>
    <t>Fabricação de amidos e féculas de vegetais e de óleos de milho</t>
  </si>
  <si>
    <t>Moagem e fabricação de produtos de origem vegetal não especificados anteriormente</t>
  </si>
  <si>
    <t>Fabricação de açúcar em bruto</t>
  </si>
  <si>
    <t>Fabricação de produtos de panificação</t>
  </si>
  <si>
    <t>Fabricação de biscoitos e bolachas</t>
  </si>
  <si>
    <t>Fabricação de produtos derivados do cacau, de chocolates e confeitos</t>
  </si>
  <si>
    <t>Fabricação de massas alimentícias</t>
  </si>
  <si>
    <t>Fabricação de especiarias, molhos, temperos e condimentos</t>
  </si>
  <si>
    <t>Fabricação de alimentos e pratos prontos</t>
  </si>
  <si>
    <t>Fabricação de produtos alimentícios não especificados anteriormente</t>
  </si>
  <si>
    <t>Fabricação de refrigerantes e de outras bebidas não alcoólicas</t>
  </si>
  <si>
    <t>Fabricação de produtos do fumo</t>
  </si>
  <si>
    <t>Preparação e fiação de fibras de algodão</t>
  </si>
  <si>
    <t>Preparação e fiação de fibras têxteis naturais, exceto algodão</t>
  </si>
  <si>
    <t>Tecelagem de fios de algodão</t>
  </si>
  <si>
    <t>Tecelagem de fios de fibras têxteis naturais, exceto algodão</t>
  </si>
  <si>
    <t>Acabamentos em fios, tecidos e artefatos têxteis</t>
  </si>
  <si>
    <t>Fabricação de artefatos têxteis para uso doméstico</t>
  </si>
  <si>
    <t>Fabricação de artefatos de tapeçaria</t>
  </si>
  <si>
    <t>Fabricação de artefatos de cordoaria</t>
  </si>
  <si>
    <t>Fabricação de outros produtos têxteis não especificados anteriormente</t>
  </si>
  <si>
    <t>Confecção de roupas íntimas</t>
  </si>
  <si>
    <t>Confecção de roupas profissionais</t>
  </si>
  <si>
    <t>Fabricação de acessórios do vestuário, exceto para segurança e proteção</t>
  </si>
  <si>
    <t>Fabricação de meias</t>
  </si>
  <si>
    <t>Fabricação de artigos do vestuário, produzidos em malharias e tricotagens, exceto meias</t>
  </si>
  <si>
    <t>Curtimento e outras preparações de couro</t>
  </si>
  <si>
    <t>Fabricação de artigos para viagem, bolsas e semelhantes de qualquer material</t>
  </si>
  <si>
    <t>Fabricação de artefatos de couro não especificados anteriormente</t>
  </si>
  <si>
    <t>Fabricação de calçados de couro</t>
  </si>
  <si>
    <t>Fabricação de calçados de materiais não especificados anteriormente</t>
  </si>
  <si>
    <t>Fabricação de partes para calçados, de qualquer material</t>
  </si>
  <si>
    <t>Fabricação de estruturas de madeira e de artigos de carpintaria para construção</t>
  </si>
  <si>
    <t>Fabricação de artefatos de tanoaria e de embalagens de madeira</t>
  </si>
  <si>
    <t>Fabricação de artefatos de madeira, palha, cortiça, vime e material trançado não especificados anteriormente, exceto móveis</t>
  </si>
  <si>
    <t>Fabricação de papel</t>
  </si>
  <si>
    <t>Fabricação de embalagens de papel</t>
  </si>
  <si>
    <t>Fabricação de embalagens de cartolina e papel-cartão</t>
  </si>
  <si>
    <t>Fabricação de produtos de papel para usos doméstico e higiênico-sanitário</t>
  </si>
  <si>
    <t>Fabricação de produtos de pastas celulósicas, papel, cartolina, papel-cartão e papelão ondulado não especificados anteriormente</t>
  </si>
  <si>
    <t>Impressão de materiais para outros usos</t>
  </si>
  <si>
    <t>Serviços de pré-impressão</t>
  </si>
  <si>
    <t>Serviços de acabamentos gráficos</t>
  </si>
  <si>
    <t>Fabricação de artefatos de borracha não especificados anteriormente</t>
  </si>
  <si>
    <t>Fabricação de artefatos de material plástico não especificados anteriormente</t>
  </si>
  <si>
    <t>Fabricação de artigos de vidro</t>
  </si>
  <si>
    <t>Fabricação de artefatos de concreto, cimento, fibrocimento, gesso e materiais semelhantes</t>
  </si>
  <si>
    <t>Fabricação de produtos cerâmicos não refratários para uso estrutural na construção</t>
  </si>
  <si>
    <t>Fabricação de produtos cerâmicos não refratários não especificados anteriormente</t>
  </si>
  <si>
    <t>Aparelhamento e outros trabalhos em pedras</t>
  </si>
  <si>
    <t>Fabricação de produtos de minerais não metálicos não especificados anteriormente</t>
  </si>
  <si>
    <t>Fabricação de esquadrias de metal</t>
  </si>
  <si>
    <t>Produção de artefatos estampados de metal; metalurgia do pó</t>
  </si>
  <si>
    <t>Serviços de usinagem, solda, tratamento e revestimento em metais</t>
  </si>
  <si>
    <t>Fabricação de artigos de cutelaria</t>
  </si>
  <si>
    <t>Fabricação de artigos de serralheria, exceto esquadrias</t>
  </si>
  <si>
    <t>Fabricação de ferramentas</t>
  </si>
  <si>
    <t>Fabricação de produtos de metal não especificados anteriormente</t>
  </si>
  <si>
    <t>Fabricação de lâmpadas e outros equipamentos de iluminação</t>
  </si>
  <si>
    <t>Recondicionamento e recuperação de motores para veículos automotores</t>
  </si>
  <si>
    <t>Fabricação de móveis com predominância de madeira</t>
  </si>
  <si>
    <t>Fabricação de móveis com predominância de metal</t>
  </si>
  <si>
    <t>Fabricação de móveis de outros materiais, exceto madeira e metal</t>
  </si>
  <si>
    <t>Fabricação de colchões</t>
  </si>
  <si>
    <t>Lapidação de gemas e fabricação de artefatos de ourivesaria e joalheria</t>
  </si>
  <si>
    <t>Fabricação de bijuterias e artefatos semelhantes</t>
  </si>
  <si>
    <t>Fabricação de instrumentos musicais</t>
  </si>
  <si>
    <t>Fabricação de artefatos para pesca e esporte</t>
  </si>
  <si>
    <t>Fabricação de brinquedos e jogos recreativos</t>
  </si>
  <si>
    <t>Fabricação de escovas, pincéis e vassouras</t>
  </si>
  <si>
    <t>Fabricação de equipamentos e acessórios para segurança e proteção pessoal e profissional</t>
  </si>
  <si>
    <t>Fabricação de produtos diversos não especificados anteriormente</t>
  </si>
  <si>
    <t>Manutenção e reparação de tanques, reservatórios metálicos e caldeiras, exceto para veículos</t>
  </si>
  <si>
    <t>Manutenção e reparação de máquinas e equipamentos elétricos</t>
  </si>
  <si>
    <t>Manutenção e reparação de máquinas e equipamentos da indústria mecânica</t>
  </si>
  <si>
    <t>Manutenção e reparação de embarcações</t>
  </si>
  <si>
    <t>Manutenção e reparação de equipamentos e produtos não especificados anteriormente</t>
  </si>
  <si>
    <t>Instalação de máquinas e equipamentos industriais</t>
  </si>
  <si>
    <t>Instalação de equipamentos não especificados anteriormente</t>
  </si>
  <si>
    <t>Captação, tratamento e distribuição de água</t>
  </si>
  <si>
    <t>Atividades relacionadas a esgoto, exceto a gestão de redes</t>
  </si>
  <si>
    <t>Coleta de resíduos não perigosos</t>
  </si>
  <si>
    <t>Recuperação de materiais metálicos</t>
  </si>
  <si>
    <t>Recuperação de materiais plásticos</t>
  </si>
  <si>
    <t>Recuperação de materiais não especificados anteriormente</t>
  </si>
  <si>
    <t>Instalações elétricas</t>
  </si>
  <si>
    <t>Instalações hidráulicas, de sistemas de ventilação e refrigeração</t>
  </si>
  <si>
    <t>Obras de instalações em construções não especificadas anteriormente</t>
  </si>
  <si>
    <t>Comércio de peças e acessórios para veículos automotores</t>
  </si>
  <si>
    <t>Comércio por atacado e a varejo de motocicletas, peças e acessórios</t>
  </si>
  <si>
    <t>Manutenção e reparação de motocicletas</t>
  </si>
  <si>
    <t>Comércio varejista de mercadorias em geral, sem predominância de produtos alimentícios</t>
  </si>
  <si>
    <t>Comércio varejista de produtos de padaria, laticínio, doces, balas e semelhantes</t>
  </si>
  <si>
    <t>Comércio varejista de carnes e pescados - açougues e peixarias</t>
  </si>
  <si>
    <t>Comércio varejista de hortifrutigranjeiros</t>
  </si>
  <si>
    <t>Comércio varejista de produtos alimentícios em geral ou especializado em produtos alimentícios não especificados anteriormente; produtos do fumo</t>
  </si>
  <si>
    <t>Comércio varejista de lubrificantes</t>
  </si>
  <si>
    <t>Comércio varejista de tintas e materiais para pintura</t>
  </si>
  <si>
    <t>Comércio varejista de material elétrico</t>
  </si>
  <si>
    <t>Comércio varejista de vidros</t>
  </si>
  <si>
    <t>Comércio varejista de ferragens, madeira e materiais de construção</t>
  </si>
  <si>
    <t>Comércio varejista especializado de equipamentos e suprimentos de informática</t>
  </si>
  <si>
    <t>Comércio varejista especializado de equipamentos de telefonia e comunicação</t>
  </si>
  <si>
    <t>Comércio varejista especializado de eletrodomésticos e equipamentos de áudio e vídeo</t>
  </si>
  <si>
    <t>Comércio varejista especializado de móveis, colchoaria e artigos de iluminação</t>
  </si>
  <si>
    <t>Comércio varejista especializado de tecidos e artigos de cama, mesa e banho</t>
  </si>
  <si>
    <t>Comércio varejista especializado de instrumentos musicais e acessórios</t>
  </si>
  <si>
    <t>Comércio varejista especializado de peças e acessórios para aparelhos eletroeletrônicos para uso doméstico, exceto informática e comunicação</t>
  </si>
  <si>
    <t>Comércio varejista de artigos de uso doméstico não especificados anteriormente</t>
  </si>
  <si>
    <t>Comércio varejista de livros, jornais, revistas e papelaria</t>
  </si>
  <si>
    <t>Comércio varejista de discos, cds, dvds e fitas</t>
  </si>
  <si>
    <t>Comércio varejista de artigos recreativos e esportivos</t>
  </si>
  <si>
    <t>Comércio varejista de cosméticos, produtos de perfumaria e de higiene pessoal</t>
  </si>
  <si>
    <t>Comércio varejista de artigos médicos e ortopédicos</t>
  </si>
  <si>
    <t>Comércio varejista de artigos de óptica</t>
  </si>
  <si>
    <t>Comércio varejista de calçados e artigos de viagem</t>
  </si>
  <si>
    <t>Comércio varejista de joias e relógios</t>
  </si>
  <si>
    <t>Comércio varejista de artigos usados</t>
  </si>
  <si>
    <t>Transporte rodoviário de táxi</t>
  </si>
  <si>
    <t>Transporte escolar</t>
  </si>
  <si>
    <t>Transporte rodoviário coletivo de passageiros, sob regime de fretamento, e outros transportes rodoviários não especificados anteriormente</t>
  </si>
  <si>
    <t>Transporte marítimo de cabotagem</t>
  </si>
  <si>
    <t>Transporte por navegação interior de carga</t>
  </si>
  <si>
    <t>Transporte por navegação de travessia</t>
  </si>
  <si>
    <t>Transportes aquaviários não especificados anteriormente</t>
  </si>
  <si>
    <t>Armazenamento</t>
  </si>
  <si>
    <t>Carga e descarga</t>
  </si>
  <si>
    <t>Estacionamento de veículos</t>
  </si>
  <si>
    <t>Atividades de correio</t>
  </si>
  <si>
    <t>Outros tipos de alojamento não especificados anteriormente</t>
  </si>
  <si>
    <t>Serviços ambulantes de alimentação</t>
  </si>
  <si>
    <t>Edição de livros</t>
  </si>
  <si>
    <t>Edição de jornais</t>
  </si>
  <si>
    <t>Edição de revistas</t>
  </si>
  <si>
    <t>Edição de cadastros, listas e de outros produtos gráficos</t>
  </si>
  <si>
    <t>Atividades de pós-produção cinematográfica, de vídeos e de programas de televisão</t>
  </si>
  <si>
    <t>Outras atividades de telecomunicações</t>
  </si>
  <si>
    <t>Outras atividades de prestação de serviços de informação não especificadas anteriormente</t>
  </si>
  <si>
    <t>Atividades fotográficas e similares</t>
  </si>
  <si>
    <t>Atividades profissionais, científicas e técnicas não especificadas anteriormente</t>
  </si>
  <si>
    <t>Locação de meios de transporte, exceto automóveis, sem condutor</t>
  </si>
  <si>
    <t>Aluguel de equipamentos recreativos e esportivos</t>
  </si>
  <si>
    <t>Aluguel de fitas de vídeo, dvds e similares</t>
  </si>
  <si>
    <t>Aluguel de objetos do vestuário, joias e acessórios</t>
  </si>
  <si>
    <t>Aluguel de objetos pessoais e domésticos não especificados anteriormente</t>
  </si>
  <si>
    <t>Aluguel de máquinas e equipamentos agrícolas sem operador</t>
  </si>
  <si>
    <t>Aluguel de máquinas e equipamentos para construção sem operador</t>
  </si>
  <si>
    <t>Aluguel de máquinas e equipamentos para escritórios</t>
  </si>
  <si>
    <t>Aluguel de máquinas e equipamentos não especificados anteriormente</t>
  </si>
  <si>
    <t>Agências de viagens</t>
  </si>
  <si>
    <t>Operadores turísticos</t>
  </si>
  <si>
    <t>Serviços de reservas e outros serviços de turismo não especificados anteriormente</t>
  </si>
  <si>
    <t>Atividades de vigilância e segurança privada</t>
  </si>
  <si>
    <t>Atividades de monitoramento de sistemas de segurança</t>
  </si>
  <si>
    <t>Atividades de limpeza não especificadas anteriormente</t>
  </si>
  <si>
    <t>Atividades paisagísticas</t>
  </si>
  <si>
    <t>Atividades de organização de eventos, exceto culturais e esportivos</t>
  </si>
  <si>
    <t>Atividades de cobranças e informações cadastrais</t>
  </si>
  <si>
    <t>Envasamento e empacotamento sob contrato</t>
  </si>
  <si>
    <t>Atividades de serviços prestados principalmente às empresas não especificadas anteriormente</t>
  </si>
  <si>
    <t>Ensino de arte e cultura</t>
  </si>
  <si>
    <t>Ensino de idiomas</t>
  </si>
  <si>
    <t>Atividades de fornecimento de infraestrutura de apoio e assistência a paciente no domicílio</t>
  </si>
  <si>
    <t>Artes cênicas, espetáculos e atividades complementares</t>
  </si>
  <si>
    <t>Criação artística</t>
  </si>
  <si>
    <t>Atividades de recreação e lazer não especificadas anteriormente</t>
  </si>
  <si>
    <t>Reparação e manutenção de computadores e de equipamentos periféricos</t>
  </si>
  <si>
    <t>Reparação e manutenção de equipamentos de comunicação</t>
  </si>
  <si>
    <t>Reparação e manutenção de equipamentos eletroeletrônicos de uso pessoal e doméstico</t>
  </si>
  <si>
    <t>Reparação e manutenção de objetos e equipamentos pessoais e domésticos não especificados anteriormente</t>
  </si>
  <si>
    <t>Lavanderias, tinturarias e toalheiros</t>
  </si>
  <si>
    <t>Atividades funerárias e serviços relacionados</t>
  </si>
  <si>
    <t>Atividades de serviços pessoais não especificadas anteriormente</t>
  </si>
  <si>
    <t>Serviços domésticos</t>
  </si>
  <si>
    <t>Fundamental completo e médio incompleto</t>
  </si>
  <si>
    <t>Ensino médio completo e superior incompleto</t>
  </si>
  <si>
    <t>Analfabetos e fundamental incompleto (1)</t>
  </si>
  <si>
    <t>Código</t>
  </si>
  <si>
    <t>Nascidos em 2014</t>
  </si>
  <si>
    <t>Sudeste</t>
  </si>
  <si>
    <t>Nordeste</t>
  </si>
  <si>
    <t>Sul</t>
  </si>
  <si>
    <t>Centro-Oeste</t>
  </si>
  <si>
    <t>Norte</t>
  </si>
  <si>
    <t>Tabela 18 – Entrada e saída de MEIs, com respectivas taxas, segundo grandes grupamentos de atividade econômica – Brasil - 2021  </t>
  </si>
  <si>
    <t>Seção CNAE 2.0</t>
  </si>
  <si>
    <t>R</t>
  </si>
  <si>
    <t>M</t>
  </si>
  <si>
    <t>T</t>
  </si>
  <si>
    <t>J</t>
  </si>
  <si>
    <t>Q</t>
  </si>
  <si>
    <t>S</t>
  </si>
  <si>
    <t>P</t>
  </si>
  <si>
    <t>Não-desligados (1)</t>
  </si>
  <si>
    <t>Educ. Sup. ou mais</t>
  </si>
  <si>
    <t>Faixa etária
(%)</t>
  </si>
  <si>
    <t xml:space="preserve">(1) “Sem informação” se refere aos empreendedores que não tiveram algum vínculo prévio de trabalho formal à filiação do MEI desde 2009. Incluem aqueles sem experiência prévia como empregado, o trabalhador que sempre esteve no mercado informal ou possuiu vínculo de trabalho formal anterior a 2009. </t>
  </si>
  <si>
    <t xml:space="preserve">(1) “Não desligados” apresentavam vínculo ativo de trabalho no momento da filiação do MEI. (2) “Sem informação” se refere aos empreendedores que não tiveram algum vínculo prévio de trabalho formal à filiação do MEI desde 2009. Incluem aqueles sem experiência prévia como empregado, o trabalhador que sempre esteve no mercado informal ou possuiu vínculo de trabalho formal anterior a 2009. </t>
  </si>
  <si>
    <t xml:space="preserve">(1) Considera-se como experiência na classe CNAE: possuir ao menos um vínculo na RAIS de 2009-2021 em que a empregadora do empreendedor possua mesma atividade no Cadastro Central de Empresas que a autodeclarada pelo MEI. (2) Considera-se a autodeclaração da atividade do MEI no Cadastro Nacional de Pessoas Jurídicas e não se realiza crítica da informação. </t>
  </si>
  <si>
    <t>(1) Se refere aos analfabetos (independente de instrução), alfabetizado sem ter frequentado escola regular e fundamental incompleto (2) “Sem informação” inclui quem não esteve no mercado de trabalho formal de 2009-2021 ou que seu empregador declarou na RAIS um grau de instrução inválido.</t>
  </si>
  <si>
    <t xml:space="preserve">(1) “Sem experiência ou não encontrado” se refere aos empreendedores que não tiveram, desde 2009, algum vínculo prévio de trabalho formal à filiação do MEI. Incluem o trabalhador que sempre esteve no mercado informal ou possuiu vínculo de trabalho formal anterior a 2009. </t>
  </si>
  <si>
    <t>Com informa-ção</t>
  </si>
  <si>
    <t xml:space="preserve">Com informa-ção </t>
  </si>
  <si>
    <t>Idade  (calculada em 2014)</t>
  </si>
  <si>
    <t xml:space="preserve">Fontes: 1. Ministério da Economia, Secretaria Especial da Receita Federal do Brasil. 2. Ministério do Trabalho e Previdência. 3. IBGE, Diretoria de Pesquisas, Coordenação de Cadastros e Classificações.  </t>
  </si>
  <si>
    <t xml:space="preserve">Notas: As estatísticas apresentadas foram obtidas a partir das informações primárias das fontes mencionadas. As seções D, K, L, O e U não apresentam MEIs. Em outras seções pode não haver MEI em todas as classes da seção CNAE 2.0 correspondentes. Maiores informações, consultar Apêndice 1. </t>
  </si>
  <si>
    <t xml:space="preserve">(1) A fonte de dados da CNAE 2.0 dos MEIs é o Cadastro Nacional de Pessoas Jurídicas e não passou por procedimento de crítica.  (2) O total de ocupados corresponde à soma do número de MEIs, seus empregados e do pessoal ocupado total das empresas e outras organizações do Cempre para todas as atividades econômicas (CNAE 2.0), inclusive àquelas sem MEI. </t>
  </si>
  <si>
    <t xml:space="preserve">Fontes: 1. Ministério da Economia, Secretaria Especial da Receita Federal do Brasil. 2. Ministério do Trabalho e Previdência. 3. IBGE, Diretoria de Pesquisas, Coordenação de Cadastros e Classificações. </t>
  </si>
  <si>
    <t xml:space="preserve">Nota: As estatísticas apresentadas foram obtidas a partir das informações primárias das fontes mencionadas. </t>
  </si>
  <si>
    <t>(1) A fonte de dados da CNAE 2.0 dos MEIs é o Cadastro Nacional de Pessoas Jurídicas e não passou por procedimento de crítica. A linha de Total considera apenas as CNAE 2.0 em que há MEI. (2) Razão entre o número de MEIs e o total de ocupados, o qual corresponde à soma do número de MEIs, seus empregados e do pessoal ocupado total das empresas e outras organizações do Cempre.</t>
  </si>
  <si>
    <t xml:space="preserve">Notas: As estatísticas apresentadas foram obtidas a partir das informações primárias das fontes mencionadas.  O ano de filiação ao MEI refere-se à última vez que a empresa aderiu ao programa caso haja múltiplas datas. </t>
  </si>
  <si>
    <t xml:space="preserve">Notas: As estatísticas apresentadas foram obtidas a partir das informações primárias das fontes mencionadas.  Foram considerados MEIs que exercem atividade na própria residência aqueles cuja declaração do endereço do MEI no Cadastro Nacional de Pessoas Jurídicas é o mesmo daquele do Cadastro de Pessoas Físicas, independentemente da data de atualização cadastral. Portanto, é possível haver defasagem entre a informação cadastral de endereço do CNPJ e do CPF. Um exercício apenas com aqueles cuja atualização cadastral do CPF e abertura do CNPJ ocorreram a partir de 2017, revelou um total de 43,2% atuando na própria residência. A fonte de dados da CNAE 2.0 é o Cadastro Nacional de Pessoas Jurídicas e não passou por procedimento de crítica. Foram apresentadas apenas as seções CNAE 2.0 em que há MEI. </t>
  </si>
  <si>
    <t>(1) Refere-se a uma das categorias existentes no Manual de orientação [da] Relação Anual de Informações Sociais: ano-base 2021. (2) “Sem informação” inclui quem não esteve no mercado de trabalho formal de 2009-2021 ou que seu empregador declarou na RAIS código inválido de raça ou cor.</t>
  </si>
  <si>
    <t xml:space="preserve">Fontes: 1. Ministério da Economia, Secretaria Especial da Receita Federal do Brasil. 2. Ministério do Trabalho e Previdência. 3. IBGE, Diretoria de Pesquisas, Coordenação de Cadastros e Classificações. 
</t>
  </si>
  <si>
    <t xml:space="preserve">(1) “Sem vínculo prévio ou não encontrado” se refere aos MEIs que sempre estiveram no mercado informal de trabalho ou foram declarados na RAIS em um período anterior a 2009. </t>
  </si>
  <si>
    <t xml:space="preserve">Notas: As estatísticas apresentadas foram obtidas a partir das informações primárias das fontes mencionadas. A pesquisa pelo de vínculo de trabalho prévio a filiação do MEI de 2021 foi realizada nos registros administrativos da RAIS dos anos de referência de 2009 a 2021.  </t>
  </si>
  <si>
    <t xml:space="preserve">Notas: As estatísticas apresentadas foram obtidas a partir das informações primárias das fontes mencionadas.  A pesquisa pelo de vínculo de trabalho prévio a filiação do MEI de 2021 foi realizada nos registros administrativos da RAIS dos anos de referência de 2009 a 2021. </t>
  </si>
  <si>
    <t xml:space="preserve">(1) Considera-se a autodeclaração da atividade do MEI no Cadastro Nacional de Pessoas Jurídicas e não se realiza crítica da informação. (2) “Não informado” se refere a declaração de códigos inválidos ou não informados de CBO pelo empregador informante da RAIS. </t>
  </si>
  <si>
    <t xml:space="preserve">(1) “Não desligados” apresentavam vínculo ativo de trabalho no momento da filiação do MEI. (2) O salário médio mensal se refere a soma de salários e outras remunerações recebidas em 2020, em termos nominais. </t>
  </si>
  <si>
    <t>Salário médio mensal (R$) 
(2)</t>
  </si>
  <si>
    <t xml:space="preserve">(1) As informações de natureza jurídica e faixa de pessoal ocupado assalariado tem como fonte, respectivamente, a RAIS e o Cempre. (2) Entidades empresariais agregam os códigos de natureza jurídica iniciado por 2 e 4; e Entidades sem fins lucrativos, iniciados por 3 e por 5. (3) Declaração de códigos inválidos de natureza jurídica pelo empregador informante da RAIS. (4) O número de pessoal ocupado assalariado possui como recorte temporal 31 de dezembro do ano de referência. (5) A existência da faixa sem pessoal decorre do fato do MEI ter trabalhado para um empregador que, ao longo do ano possuía empregados, mas em 31.12 declarou não ter mais assalariados. (6) Empresas não encontradas no Cempre.  </t>
  </si>
  <si>
    <t>Notas: As estatísticas apresentadas foram obtidas a partir das informações primárias das fontes mencionadas. As seções D, K, L, O e U não apresentam MEIs. Em outras seções pode não haver MEI em todas as classes da seção CNAE 2.0 correspondentes. Maiores informações, consultar Apêndice 1.</t>
  </si>
  <si>
    <t xml:space="preserve">(1) A fonte de dados da CNAE 2.0 dos MEIs é o Cadastro Nacional de Pessoas Jurídicas e não passou por procedimento de crítica.  (2) O saldo consiste na diferença entre o total de MEIs de 2021 e de 2020. Ele não necessariamente é o mesmo valor das entradas menos as saídas, pois as entradas e saídas não levam em conta mudanças de atividade econômica. Ou seja, um MEI que simplesmente alterou a atividade econômica não é considerado entrantes ou saída. </t>
  </si>
  <si>
    <t xml:space="preserve">Notas: As estatísticas apresentadas foram obtidas a partir das informações primárias das fontes mencionadas.  As características do MEI se referem àquelas do momento de nascimento do empreendimento. </t>
  </si>
  <si>
    <t xml:space="preserve">Notas: As estatísticas apresentadas foram obtidas a partir das informações primárias das fontes mencionadas. A fonte de dados da CNAE 2.0 dos MEIs é o Cadastro Nacional de Pessoas Jurídicas e não passou por procedimento de crítica. </t>
  </si>
  <si>
    <t xml:space="preserve">Notas: As estatísticas apresentadas foram obtidas a partir das informações primárias das fontes mencionadas.  A fonte de dados da CNAE 2.0 dos MEIs é o Cadastro Nacional de PessoasJurídicasPessoas Jurídicas e não passou por procedimento de crítica.  As seções D, K, L, O e U não apresentam MEIs. Em outras seções pode não haver MEI em todas as classes da seção CNAE 2.0 correspondentes. Maiores informações, consultar Apêndice 1. </t>
  </si>
  <si>
    <t xml:space="preserve"> </t>
  </si>
  <si>
    <t>Unidade da Federação</t>
  </si>
  <si>
    <t>Participação de MEIs no total de ocupados da UF (%)</t>
  </si>
  <si>
    <t>Distribuição nacional do número de MEIs (%)</t>
  </si>
  <si>
    <t>Número de MEIs (absoluto)</t>
  </si>
  <si>
    <t>Número de MEIs (relativo completo)</t>
  </si>
  <si>
    <t>Número de MEIs (relativo apenas com informações)</t>
  </si>
  <si>
    <t>SP</t>
  </si>
  <si>
    <t>RJ</t>
  </si>
  <si>
    <t>MG</t>
  </si>
  <si>
    <t>PR</t>
  </si>
  <si>
    <t>RS</t>
  </si>
  <si>
    <t>BA</t>
  </si>
  <si>
    <t>SC</t>
  </si>
  <si>
    <t>GO</t>
  </si>
  <si>
    <t>PE</t>
  </si>
  <si>
    <t>CE</t>
  </si>
  <si>
    <t>ES</t>
  </si>
  <si>
    <t>PA</t>
  </si>
  <si>
    <t>DF</t>
  </si>
  <si>
    <t>MT</t>
  </si>
  <si>
    <t>MS</t>
  </si>
  <si>
    <t>PB</t>
  </si>
  <si>
    <t>RN</t>
  </si>
  <si>
    <t>MA</t>
  </si>
  <si>
    <t>AL</t>
  </si>
  <si>
    <t>AM</t>
  </si>
  <si>
    <t>PI</t>
  </si>
  <si>
    <t>SE</t>
  </si>
  <si>
    <t>TO</t>
  </si>
  <si>
    <t>RO</t>
  </si>
  <si>
    <t>AP</t>
  </si>
  <si>
    <t>AC</t>
  </si>
  <si>
    <t>RR</t>
  </si>
  <si>
    <t>Participação Feminina (%)</t>
  </si>
  <si>
    <t>UF</t>
  </si>
  <si>
    <t>Sigla UF</t>
  </si>
  <si>
    <t>Fontes: 1. Ministério da Economia, Secretaria Especial da Receita Federal do Brasil. 2. Ministério do Trabalho e Previdência. 3. IBGE, Diretoria de Pesquisas, Coordenação de Cadastros e Classificações.</t>
  </si>
  <si>
    <t>Nota: As estatísticas apresentadas foram obtidas a partir das informações primárias das fontes mencionadas.</t>
  </si>
  <si>
    <t xml:space="preserve">Tabela 23 – Número e distribuição relativa de MEIs por sexo, faixa etária, indicador de nacionalidade, raça e escolaridade, segundo as Grandes Regiões – Brasil - 2021 </t>
  </si>
  <si>
    <t xml:space="preserve">Tabela 22 - Número de MEIs e distribuição por grandes grupamentos de atividade econômica, segundo as Unidades da Federação em ordem decrescente de representatividade - Brasil - 2021 </t>
  </si>
  <si>
    <t xml:space="preserve">Tabela 21 – Distribuição do número de MEIs das 15 classes CNAE 2.0 mais representativas, segundo as Grandes Regiões – Brasil - 2021 </t>
  </si>
  <si>
    <t>Tabela 20 - Distribuição nacional do número de MEIs e participação no total de ocupados formais, segundo as Unidades da Federação – Brasil - 2021</t>
  </si>
  <si>
    <t>Notas: As estatísticas apresentadas foram obtidas a partir das informações primárias das fontes mencionadas. O total de ocupados corresponde à soma do número de MEIs, seus empregados e do pessoal ocupado total das unidades locais do CEMPRE.</t>
  </si>
  <si>
    <t xml:space="preserve">Tabela 24 - Participação feminina no total de MEI, segundo a Unidade da Federação – Brasil - 2021 </t>
  </si>
  <si>
    <t>Tabela 25- Número de MEIs e variáveis selecionadas, segundo a classe CNAE 2.0 – Brasil - 2021 </t>
  </si>
  <si>
    <t xml:space="preserve">  </t>
  </si>
  <si>
    <r>
      <t xml:space="preserve">Notas: As estatísticas apresentadas foram obtidas a partir das informações primárias das fontes mencionadas. O tempo de interstício se refere ao intervalo entre o desligamento do vínculo prévio e a filiação do MEI. Para maiores informações, consultar o tópico Tempo forma do mercado formal de trabalho, nas </t>
    </r>
    <r>
      <rPr>
        <b/>
        <sz val="8"/>
        <color rgb="FF000000"/>
        <rFont val="Arial"/>
        <family val="2"/>
      </rPr>
      <t>Notas técnicas</t>
    </r>
    <r>
      <rPr>
        <sz val="8"/>
        <color rgb="FF000000"/>
        <rFont val="Arial"/>
        <family val="2"/>
      </rPr>
      <t xml:space="preserve">. A pesquisa pelo de vínculo de trabalho prévio a filiação do MEI de 2021 foi realizada nos registros administrativos da RAIS dos anos de referência de 2009 a 2021.  </t>
    </r>
  </si>
  <si>
    <r>
      <t xml:space="preserve">Notas: As estatísticas apresentadas foram obtidas a partir das informações primárias das fontes mencionadas.  O cálculo do tempo de experiência prévia considera apenas o tempo trabalhado no período de 1.Jan.2009 a data de filiação do MEI, limitada a 31.Dez.21. Para maiores informações, consultar o tópico Tempo de experiência prévia nas </t>
    </r>
    <r>
      <rPr>
        <b/>
        <sz val="8"/>
        <color rgb="FF000000"/>
        <rFont val="Arial"/>
        <family val="2"/>
      </rPr>
      <t>Notas técnicas</t>
    </r>
    <r>
      <rPr>
        <sz val="8"/>
        <color rgb="FF000000"/>
        <rFont val="Arial"/>
        <family val="2"/>
      </rPr>
      <t xml:space="preserve">. A pesquisa pelo de vínculo de trabalho prévio a filiação do MEI de 2021 foi realizada nos registros administrativos da RAIS dos anos de referência de 2009 a 2021.  </t>
    </r>
  </si>
  <si>
    <t xml:space="preserve">Notas: As estatísticas apresentadas foram obtidas a partir das informações primárias das fontes mencionadas. A pesquisa pelo de vínculo de trabalho prévio a filiação do MEI de 2021 foi realizada nos registros administrativos da RAIS dos anos de referência de 2009 a 2021. A tabela de correspondência com os códigos para o agrupamento está disponível no Anexo 1.  </t>
  </si>
  <si>
    <r>
      <t xml:space="preserve">Notas: As estatísticas apresentadas foram obtidas a partir das informações primárias das fontes mencionadas.  Para o cálculo do salário médio mensal dos MEIs filiados em 2021 foram utilizados apenas os vínculos de 2020 dentre outros critérios. Para maiores informações, consultar </t>
    </r>
    <r>
      <rPr>
        <b/>
        <sz val="8"/>
        <color theme="1"/>
        <rFont val="Arial"/>
        <family val="2"/>
      </rPr>
      <t>Notas técnicas</t>
    </r>
    <r>
      <rPr>
        <sz val="8"/>
        <color theme="1"/>
        <rFont val="Arial"/>
        <family val="2"/>
      </rPr>
      <t xml:space="preserve"> no tópico "Cálculo do salário médio mensal prévio do MEI". </t>
    </r>
  </si>
  <si>
    <t xml:space="preserve">Notas: As estatísticas apresentadas foram obtidas a partir das informações primárias das fontes mencionadas.  </t>
  </si>
  <si>
    <t xml:space="preserve">(1) Refere-se a uma das categorias existentes no Manual de orientação [da] Relação Anual de Informações Sociais: ano-base 2021. (2) Sem informação inclui aqueles que não estiveram no mercado de trabalho formal de 2009-2021 e aqueles que possuem dados sem declaração.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</si>
</sst>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0;&quot;(-) &quot;0.0"/>
    <numFmt numFmtId="165" formatCode="0.0"/>
    <numFmt numFmtId="166" formatCode="###\ ###\ ###\ ###"/>
    <numFmt numFmtId="167" formatCode="#,##0.0"/>
    <numFmt numFmtId="168" formatCode="_-* #,##0.00_-;\-* #,##0.00_-;_-* \-??_-;_-@_-"/>
    <numFmt numFmtId="169" formatCode="###.0\ ###\ ###;&quot;(-) &quot;###.0\ ###\ ###"/>
    <numFmt numFmtId="170" formatCode="###\ ###\ ###;&quot;(-) &quot;###\ ###\ ###"/>
    <numFmt numFmtId="171" formatCode=".\ \ #\ ;##"/>
    <numFmt numFmtId="172" formatCode="############"/>
    <numFmt numFmtId="173" formatCode="0.0%"/>
    <numFmt numFmtId="174" formatCode="_-* #,##0.0_-;\-* #,##0.0_-;_-* \-??_-;_-@_-"/>
    <numFmt numFmtId="175" formatCode="#,##0.0_ ;\-#,##0.0\ "/>
  </numFmts>
  <fonts count="43">
    <font>
      <sz val="11"/>
      <color theme="1"/>
      <name val="Calibri"/>
      <family val="2"/>
      <scheme val="minor"/>
    </font>
    <font>
      <sz val="11"/>
      <color rgb="FF000000"/>
      <name val="Calibri"/>
      <family val="2"/>
      <charset val="1"/>
    </font>
    <font>
      <b/>
      <sz val="9"/>
      <color rgb="FF000000"/>
      <name val="Univers LT Std 45 Light"/>
      <family val="2"/>
      <charset val="1"/>
    </font>
    <font>
      <sz val="7"/>
      <color rgb="FF000000"/>
      <name val="Univers LT Std 55"/>
      <family val="2"/>
      <charset val="1"/>
    </font>
    <font>
      <b/>
      <sz val="7"/>
      <color rgb="FF000000"/>
      <name val="Univers LT Std 55"/>
    </font>
    <font>
      <b/>
      <sz val="7"/>
      <color rgb="FF000000"/>
      <name val="Univers LT Std 45 Light"/>
    </font>
    <font>
      <sz val="7"/>
      <color rgb="FF000000"/>
      <name val="Univers LT Std 45 Light"/>
      <family val="2"/>
      <charset val="1"/>
    </font>
    <font>
      <sz val="7"/>
      <color rgb="FF000000"/>
      <name val="Univers LT Std 45 Light"/>
    </font>
    <font>
      <sz val="11"/>
      <color theme="1"/>
      <name val="Calibri"/>
      <family val="2"/>
      <scheme val="minor"/>
    </font>
    <font>
      <sz val="11"/>
      <color indexed="64"/>
      <name val="Calibri"/>
      <family val="2"/>
      <scheme val="minor"/>
    </font>
    <font>
      <sz val="7"/>
      <color rgb="FF000000"/>
      <name val="Univers LT Std 55"/>
    </font>
    <font>
      <sz val="7"/>
      <color theme="1"/>
      <name val="Calibri"/>
      <family val="2"/>
      <scheme val="minor"/>
    </font>
    <font>
      <sz val="11"/>
      <color rgb="FF000000"/>
      <name val="Calibri"/>
      <family val="2"/>
    </font>
    <font>
      <b/>
      <sz val="9"/>
      <color rgb="FF000000"/>
      <name val="Arial"/>
      <family val="2"/>
    </font>
    <font>
      <sz val="8"/>
      <color rgb="FF000000"/>
      <name val="Arial"/>
      <family val="2"/>
    </font>
    <font>
      <sz val="7"/>
      <color rgb="FF000000"/>
      <name val="Univers LT Std 45 Light"/>
      <charset val="1"/>
    </font>
    <font>
      <sz val="11"/>
      <color rgb="FFFF0000"/>
      <name val="Calibri"/>
      <family val="2"/>
      <scheme val="minor"/>
    </font>
    <font>
      <sz val="10"/>
      <color theme="1"/>
      <name val="Arial"/>
      <family val="2"/>
    </font>
    <font>
      <sz val="10"/>
      <color rgb="FFFF0000"/>
      <name val="Univers LT Std 45 Light"/>
    </font>
    <font>
      <sz val="11"/>
      <color theme="1"/>
      <name val="Arial"/>
      <family val="2"/>
    </font>
    <font>
      <sz val="7"/>
      <color rgb="FF000000"/>
      <name val="Arial"/>
      <family val="2"/>
    </font>
    <font>
      <b/>
      <sz val="7"/>
      <color rgb="FF000000"/>
      <name val="Arial"/>
      <family val="2"/>
    </font>
    <font>
      <sz val="7"/>
      <color theme="1"/>
      <name val="Arial"/>
      <family val="2"/>
    </font>
    <font>
      <sz val="11"/>
      <color theme="1"/>
      <name val="Arial"/>
      <family val="2"/>
    </font>
    <font>
      <b/>
      <sz val="11"/>
      <color theme="1"/>
      <name val="Arial"/>
      <family val="2"/>
    </font>
    <font>
      <sz val="9"/>
      <color theme="1"/>
      <name val="Arial"/>
      <family val="2"/>
    </font>
    <font>
      <b/>
      <sz val="8"/>
      <color rgb="FF000000"/>
      <name val="Arial"/>
      <family val="2"/>
    </font>
    <font>
      <sz val="8"/>
      <color theme="1"/>
      <name val="Arial"/>
      <family val="2"/>
    </font>
    <font>
      <b/>
      <sz val="8"/>
      <color theme="1"/>
      <name val="Arial"/>
      <family val="2"/>
    </font>
    <font>
      <sz val="7"/>
      <color theme="1"/>
      <name val="Univers LT Std 45 Light"/>
    </font>
    <font>
      <b/>
      <sz val="11"/>
      <name val="Arial"/>
      <family val="2"/>
    </font>
    <font>
      <sz val="9"/>
      <color rgb="FF000000"/>
      <name val="Arial"/>
      <family val="2"/>
    </font>
    <font>
      <sz val="9"/>
      <name val="Arial"/>
      <family val="2"/>
    </font>
    <font>
      <b/>
      <sz val="9"/>
      <color theme="1"/>
      <name val="Arial"/>
      <family val="2"/>
    </font>
    <font>
      <sz val="9"/>
      <color rgb="FF000000"/>
      <name val="Calibri"/>
      <family val="2"/>
    </font>
    <font>
      <sz val="8"/>
      <color indexed="64"/>
      <name val="Arial"/>
      <family val="2"/>
    </font>
    <font>
      <b/>
      <sz val="9"/>
      <name val="Arial"/>
      <family val="2"/>
    </font>
    <font>
      <sz val="9"/>
      <color rgb="FF000000"/>
      <name val="Arial"/>
      <family val="2"/>
    </font>
    <font>
      <b/>
      <sz val="9"/>
      <color rgb="FF000000"/>
      <name val="Arial"/>
      <family val="2"/>
    </font>
    <font>
      <sz val="9"/>
      <color theme="1"/>
      <name val="Arial"/>
      <family val="2"/>
    </font>
    <font>
      <b/>
      <sz val="9"/>
      <color theme="1"/>
      <name val="Arial"/>
      <family val="2"/>
    </font>
    <font>
      <sz val="8"/>
      <color rgb="FF000000"/>
      <name val="Arial"/>
      <family val="2"/>
    </font>
    <font>
      <sz val="8"/>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rgb="FFFFFFFF"/>
        <bgColor rgb="FFF2F2F2"/>
      </patternFill>
    </fill>
  </fills>
  <borders count="38">
    <border>
      <left/>
      <right/>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style="hair">
        <color auto="1"/>
      </top>
      <bottom/>
      <diagonal/>
    </border>
    <border>
      <left style="hair">
        <color auto="1"/>
      </left>
      <right/>
      <top/>
      <bottom style="hair">
        <color auto="1"/>
      </bottom>
      <diagonal/>
    </border>
    <border>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hair">
        <color auto="1"/>
      </top>
      <bottom style="hair">
        <color auto="1"/>
      </bottom>
      <diagonal/>
    </border>
    <border>
      <left/>
      <right style="dotted">
        <color auto="1"/>
      </right>
      <top style="dotted">
        <color auto="1"/>
      </top>
      <bottom/>
      <diagonal/>
    </border>
    <border>
      <left style="dotted">
        <color auto="1"/>
      </left>
      <right style="dotted">
        <color auto="1"/>
      </right>
      <top style="dotted">
        <color auto="1"/>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
      <left/>
      <right/>
      <top/>
      <bottom style="dotted">
        <color indexed="64"/>
      </bottom>
      <diagonal/>
    </border>
    <border>
      <left style="hair">
        <color indexed="64"/>
      </left>
      <right style="hair">
        <color indexed="64"/>
      </right>
      <top style="dotted">
        <color rgb="FF000000"/>
      </top>
      <bottom style="hair">
        <color indexed="64"/>
      </bottom>
      <diagonal/>
    </border>
    <border>
      <left style="hair">
        <color indexed="64"/>
      </left>
      <right style="hair">
        <color indexed="64"/>
      </right>
      <top/>
      <bottom style="dotted">
        <color rgb="FF000000"/>
      </bottom>
      <diagonal/>
    </border>
    <border>
      <left/>
      <right style="hair">
        <color indexed="64"/>
      </right>
      <top style="hair">
        <color indexed="64"/>
      </top>
      <bottom style="dotted">
        <color rgb="FF000000"/>
      </bottom>
      <diagonal/>
    </border>
    <border>
      <left/>
      <right style="hair">
        <color indexed="64"/>
      </right>
      <top style="dotted">
        <color rgb="FF000000"/>
      </top>
      <bottom style="hair">
        <color indexed="64"/>
      </bottom>
      <diagonal/>
    </border>
    <border>
      <left style="hair">
        <color auto="1"/>
      </left>
      <right style="hair">
        <color indexed="64"/>
      </right>
      <top style="hair">
        <color auto="1"/>
      </top>
      <bottom style="dotted">
        <color rgb="FF000000"/>
      </bottom>
      <diagonal/>
    </border>
    <border>
      <left/>
      <right style="hair">
        <color indexed="64"/>
      </right>
      <top/>
      <bottom/>
      <diagonal/>
    </border>
    <border>
      <left style="hair">
        <color indexed="64"/>
      </left>
      <right style="hair">
        <color indexed="64"/>
      </right>
      <top style="dotted">
        <color rgb="FF000000"/>
      </top>
      <bottom/>
      <diagonal/>
    </border>
    <border>
      <left/>
      <right/>
      <top style="dotted">
        <color rgb="FF000000"/>
      </top>
      <bottom style="dotted">
        <color rgb="FF000000"/>
      </bottom>
      <diagonal/>
    </border>
    <border>
      <left style="dotted">
        <color rgb="FF000000"/>
      </left>
      <right/>
      <top style="dotted">
        <color rgb="FF000000"/>
      </top>
      <bottom/>
      <diagonal/>
    </border>
    <border>
      <left style="dotted">
        <color rgb="FF000000"/>
      </left>
      <right/>
      <top style="hair">
        <color auto="1"/>
      </top>
      <bottom style="hair">
        <color indexed="64"/>
      </bottom>
      <diagonal/>
    </border>
    <border>
      <left style="dotted">
        <color rgb="FF000000"/>
      </left>
      <right style="dotted">
        <color rgb="FF000000"/>
      </right>
      <top style="hair">
        <color auto="1"/>
      </top>
      <bottom style="hair">
        <color indexed="64"/>
      </bottom>
      <diagonal/>
    </border>
    <border>
      <left style="hair">
        <color indexed="64"/>
      </left>
      <right style="dotted">
        <color rgb="FF000000"/>
      </right>
      <top style="hair">
        <color auto="1"/>
      </top>
      <bottom style="hair">
        <color indexed="64"/>
      </bottom>
      <diagonal/>
    </border>
    <border>
      <left style="hair">
        <color auto="1"/>
      </left>
      <right style="hair">
        <color auto="1"/>
      </right>
      <top/>
      <bottom/>
      <diagonal/>
    </border>
    <border>
      <left/>
      <right/>
      <top/>
      <bottom style="dotted">
        <color rgb="FF000000"/>
      </bottom>
      <diagonal/>
    </border>
  </borders>
  <cellStyleXfs count="7">
    <xf numFmtId="0" fontId="0" fillId="0" borderId="0"/>
    <xf numFmtId="0" fontId="1" fillId="0" borderId="0"/>
    <xf numFmtId="43" fontId="8" fillId="0" borderId="0" applyFont="0" applyFill="0" applyBorder="0" applyAlignment="0" applyProtection="0"/>
    <xf numFmtId="0" fontId="9" fillId="0" borderId="0"/>
    <xf numFmtId="168" fontId="1" fillId="0" borderId="0" applyBorder="0" applyProtection="0"/>
    <xf numFmtId="9" fontId="8" fillId="0" borderId="0" applyFont="0" applyFill="0" applyBorder="0" applyAlignment="0" applyProtection="0"/>
    <xf numFmtId="0" fontId="1" fillId="0" borderId="0"/>
  </cellStyleXfs>
  <cellXfs count="495">
    <xf numFmtId="0" fontId="0" fillId="0" borderId="0" xfId="0"/>
    <xf numFmtId="0" fontId="2" fillId="0" borderId="0" xfId="1" applyFont="1" applyAlignment="1">
      <alignment horizontal="center" vertical="top" wrapText="1"/>
    </xf>
    <xf numFmtId="0" fontId="3" fillId="0" borderId="0" xfId="0" applyFont="1" applyAlignment="1">
      <alignment wrapText="1"/>
    </xf>
    <xf numFmtId="0" fontId="3" fillId="0" borderId="5" xfId="0" applyFont="1" applyBorder="1" applyAlignment="1">
      <alignment vertical="center"/>
    </xf>
    <xf numFmtId="166" fontId="3" fillId="0" borderId="5" xfId="0" applyNumberFormat="1" applyFont="1" applyBorder="1" applyAlignment="1">
      <alignment horizontal="right" vertical="center"/>
    </xf>
    <xf numFmtId="165" fontId="3" fillId="0" borderId="5" xfId="0" applyNumberFormat="1" applyFont="1" applyBorder="1" applyAlignment="1">
      <alignment vertical="center"/>
    </xf>
    <xf numFmtId="0" fontId="4" fillId="0" borderId="4" xfId="1" applyFont="1" applyBorder="1" applyAlignment="1">
      <alignment horizontal="left" wrapText="1"/>
    </xf>
    <xf numFmtId="0" fontId="3" fillId="0" borderId="0" xfId="0" applyFont="1" applyAlignment="1">
      <alignment vertical="top" wrapText="1"/>
    </xf>
    <xf numFmtId="0" fontId="3" fillId="0" borderId="3" xfId="1" applyFont="1" applyBorder="1" applyAlignment="1">
      <alignment horizontal="center" vertical="center" wrapText="1"/>
    </xf>
    <xf numFmtId="0" fontId="3" fillId="0" borderId="6" xfId="1" applyFont="1" applyBorder="1" applyAlignment="1">
      <alignment horizontal="center" vertical="center" wrapText="1"/>
    </xf>
    <xf numFmtId="0" fontId="3" fillId="0" borderId="0" xfId="0" applyFont="1" applyAlignment="1">
      <alignment horizontal="left" vertical="top" wrapText="1"/>
    </xf>
    <xf numFmtId="0" fontId="12" fillId="3" borderId="0" xfId="0" applyFont="1" applyFill="1"/>
    <xf numFmtId="0" fontId="13" fillId="0" borderId="0" xfId="0" applyFont="1"/>
    <xf numFmtId="0" fontId="0" fillId="3" borderId="0" xfId="0" applyFill="1"/>
    <xf numFmtId="0" fontId="2" fillId="3" borderId="0" xfId="0" applyFont="1" applyFill="1" applyAlignment="1">
      <alignment wrapText="1"/>
    </xf>
    <xf numFmtId="0" fontId="0" fillId="0" borderId="0" xfId="0" applyAlignment="1">
      <alignment horizontal="center" vertical="center" wrapText="1"/>
    </xf>
    <xf numFmtId="165" fontId="0" fillId="0" borderId="0" xfId="0" applyNumberFormat="1"/>
    <xf numFmtId="0" fontId="3" fillId="0" borderId="0" xfId="1" applyFont="1"/>
    <xf numFmtId="0" fontId="6" fillId="0" borderId="0" xfId="1" applyFont="1"/>
    <xf numFmtId="0" fontId="1" fillId="0" borderId="0" xfId="1"/>
    <xf numFmtId="0" fontId="3" fillId="3" borderId="0" xfId="0" applyFont="1" applyFill="1" applyAlignment="1">
      <alignment vertical="center" wrapText="1"/>
    </xf>
    <xf numFmtId="170" fontId="15" fillId="3" borderId="0" xfId="2" applyNumberFormat="1" applyFont="1" applyFill="1" applyBorder="1" applyAlignment="1" applyProtection="1">
      <alignment horizontal="right" vertical="center"/>
    </xf>
    <xf numFmtId="164" fontId="3" fillId="3" borderId="0" xfId="0" applyNumberFormat="1" applyFont="1" applyFill="1"/>
    <xf numFmtId="0" fontId="17" fillId="0" borderId="0" xfId="0" applyFont="1"/>
    <xf numFmtId="166" fontId="18" fillId="2" borderId="0" xfId="0" applyNumberFormat="1" applyFont="1" applyFill="1" applyAlignment="1">
      <alignment horizontal="right"/>
    </xf>
    <xf numFmtId="0" fontId="16" fillId="0" borderId="0" xfId="0" applyFont="1"/>
    <xf numFmtId="0" fontId="0" fillId="0" borderId="0" xfId="0" applyAlignment="1">
      <alignment wrapText="1"/>
    </xf>
    <xf numFmtId="166" fontId="0" fillId="0" borderId="0" xfId="0" applyNumberFormat="1"/>
    <xf numFmtId="0" fontId="2" fillId="0" borderId="5" xfId="1" applyFont="1" applyBorder="1" applyAlignment="1">
      <alignment horizontal="center" vertical="top" wrapText="1"/>
    </xf>
    <xf numFmtId="166" fontId="7" fillId="0" borderId="0" xfId="0" applyNumberFormat="1" applyFont="1" applyAlignment="1">
      <alignment horizontal="right"/>
    </xf>
    <xf numFmtId="166" fontId="7" fillId="2" borderId="0" xfId="0" applyNumberFormat="1" applyFont="1" applyFill="1" applyAlignment="1">
      <alignment horizontal="right"/>
    </xf>
    <xf numFmtId="165" fontId="5" fillId="0" borderId="0" xfId="0" applyNumberFormat="1" applyFont="1" applyAlignment="1">
      <alignment horizontal="right"/>
    </xf>
    <xf numFmtId="166" fontId="0" fillId="2" borderId="0" xfId="0" applyNumberFormat="1" applyFill="1"/>
    <xf numFmtId="0" fontId="10" fillId="0" borderId="0" xfId="1" applyFont="1" applyAlignment="1">
      <alignment horizontal="left" wrapText="1"/>
    </xf>
    <xf numFmtId="165" fontId="7" fillId="0" borderId="0" xfId="0" applyNumberFormat="1" applyFont="1" applyAlignment="1">
      <alignment horizontal="right"/>
    </xf>
    <xf numFmtId="0" fontId="11" fillId="0" borderId="0" xfId="0" applyFont="1" applyAlignment="1">
      <alignment horizontal="left" vertical="center" wrapText="1" indent="2"/>
    </xf>
    <xf numFmtId="0" fontId="11" fillId="0" borderId="0" xfId="0" applyFont="1" applyAlignment="1">
      <alignment horizontal="left" vertical="center" wrapText="1"/>
    </xf>
    <xf numFmtId="0" fontId="11" fillId="0" borderId="5" xfId="0" applyFont="1" applyBorder="1" applyAlignment="1">
      <alignment horizontal="left" vertical="center" wrapText="1"/>
    </xf>
    <xf numFmtId="166" fontId="7" fillId="0" borderId="5" xfId="0" applyNumberFormat="1" applyFont="1" applyBorder="1" applyAlignment="1">
      <alignment horizontal="right"/>
    </xf>
    <xf numFmtId="165" fontId="7" fillId="0" borderId="5" xfId="0" applyNumberFormat="1" applyFont="1" applyBorder="1" applyAlignment="1">
      <alignment horizontal="right"/>
    </xf>
    <xf numFmtId="0" fontId="3" fillId="0" borderId="0" xfId="1" applyFont="1" applyAlignment="1">
      <alignment horizontal="center" vertical="center" wrapText="1"/>
    </xf>
    <xf numFmtId="166" fontId="5" fillId="0" borderId="4" xfId="0" applyNumberFormat="1" applyFont="1" applyBorder="1" applyAlignment="1">
      <alignment horizontal="right"/>
    </xf>
    <xf numFmtId="165" fontId="5" fillId="0" borderId="4" xfId="0" applyNumberFormat="1" applyFont="1" applyBorder="1" applyAlignment="1">
      <alignment horizontal="right"/>
    </xf>
    <xf numFmtId="0" fontId="19" fillId="0" borderId="0" xfId="0" applyFont="1"/>
    <xf numFmtId="165" fontId="21" fillId="0" borderId="0" xfId="0" applyNumberFormat="1" applyFont="1" applyAlignment="1">
      <alignment horizontal="right"/>
    </xf>
    <xf numFmtId="166" fontId="20" fillId="2" borderId="0" xfId="0" applyNumberFormat="1" applyFont="1" applyFill="1" applyAlignment="1">
      <alignment horizontal="right"/>
    </xf>
    <xf numFmtId="165" fontId="20" fillId="0" borderId="0" xfId="0" applyNumberFormat="1" applyFont="1" applyAlignment="1">
      <alignment horizontal="right"/>
    </xf>
    <xf numFmtId="166" fontId="19" fillId="0" borderId="0" xfId="0" applyNumberFormat="1" applyFont="1"/>
    <xf numFmtId="0" fontId="20" fillId="0" borderId="0" xfId="0" applyFont="1" applyAlignment="1">
      <alignment horizontal="left" vertical="top" wrapText="1"/>
    </xf>
    <xf numFmtId="0" fontId="23" fillId="0" borderId="0" xfId="0" applyFont="1"/>
    <xf numFmtId="0" fontId="13" fillId="0" borderId="0" xfId="1" applyFont="1" applyAlignment="1">
      <alignment horizontal="center" vertical="center" wrapText="1"/>
    </xf>
    <xf numFmtId="0" fontId="13" fillId="0" borderId="5" xfId="1" applyFont="1" applyBorder="1" applyAlignment="1">
      <alignment horizontal="center" vertical="center" wrapText="1"/>
    </xf>
    <xf numFmtId="0" fontId="19" fillId="0" borderId="0" xfId="0" applyFont="1" applyAlignment="1">
      <alignment wrapText="1"/>
    </xf>
    <xf numFmtId="0" fontId="20" fillId="0" borderId="0" xfId="1" applyFont="1" applyAlignment="1">
      <alignment horizontal="left" vertical="center" wrapText="1" indent="2"/>
    </xf>
    <xf numFmtId="0" fontId="20" fillId="0" borderId="0" xfId="0" applyFont="1" applyAlignment="1">
      <alignment horizontal="left" vertical="center" wrapText="1"/>
    </xf>
    <xf numFmtId="0" fontId="22" fillId="0" borderId="0" xfId="0" applyFont="1" applyAlignment="1">
      <alignment horizontal="left" vertical="top" wrapText="1"/>
    </xf>
    <xf numFmtId="0" fontId="20" fillId="0" borderId="0" xfId="1" applyFont="1" applyAlignment="1">
      <alignment vertical="center" wrapText="1"/>
    </xf>
    <xf numFmtId="0" fontId="19" fillId="0" borderId="0" xfId="0" applyFont="1" applyAlignment="1">
      <alignment horizontal="left" indent="2"/>
    </xf>
    <xf numFmtId="0" fontId="24" fillId="0" borderId="0" xfId="0" applyFont="1"/>
    <xf numFmtId="0" fontId="13" fillId="0" borderId="0" xfId="1" applyFont="1" applyAlignment="1">
      <alignment horizontal="center" vertical="top" wrapText="1"/>
    </xf>
    <xf numFmtId="0" fontId="13" fillId="0" borderId="5" xfId="1" applyFont="1" applyBorder="1" applyAlignment="1">
      <alignment horizontal="center" vertical="top" wrapText="1"/>
    </xf>
    <xf numFmtId="171" fontId="20" fillId="0" borderId="0" xfId="0" applyNumberFormat="1" applyFont="1" applyAlignment="1">
      <alignment horizontal="right"/>
    </xf>
    <xf numFmtId="166" fontId="21" fillId="0" borderId="0" xfId="0" applyNumberFormat="1" applyFont="1"/>
    <xf numFmtId="0" fontId="20" fillId="0" borderId="0" xfId="0" applyFont="1" applyAlignment="1">
      <alignment vertical="top" wrapText="1"/>
    </xf>
    <xf numFmtId="0" fontId="11" fillId="0" borderId="0" xfId="0" applyFont="1" applyAlignment="1">
      <alignment horizontal="left" vertical="top" wrapText="1" indent="2"/>
    </xf>
    <xf numFmtId="0" fontId="11" fillId="0" borderId="0" xfId="0" applyFont="1" applyAlignment="1">
      <alignment horizontal="left" vertical="top" wrapText="1"/>
    </xf>
    <xf numFmtId="0" fontId="3" fillId="0" borderId="29" xfId="1" applyFont="1" applyBorder="1" applyAlignment="1">
      <alignment horizontal="center" vertical="center" wrapText="1"/>
    </xf>
    <xf numFmtId="0" fontId="7" fillId="0" borderId="0" xfId="1" applyFont="1" applyAlignment="1">
      <alignment horizontal="center" vertical="center" wrapText="1"/>
    </xf>
    <xf numFmtId="165" fontId="7" fillId="2" borderId="0" xfId="0" applyNumberFormat="1" applyFont="1" applyFill="1" applyAlignment="1">
      <alignment horizontal="right"/>
    </xf>
    <xf numFmtId="166" fontId="7" fillId="2" borderId="5" xfId="0" applyNumberFormat="1" applyFont="1" applyFill="1" applyBorder="1" applyAlignment="1">
      <alignment horizontal="right"/>
    </xf>
    <xf numFmtId="165" fontId="19" fillId="0" borderId="0" xfId="0" applyNumberFormat="1" applyFont="1" applyAlignment="1">
      <alignment horizontal="left" indent="2"/>
    </xf>
    <xf numFmtId="166" fontId="5" fillId="2" borderId="4" xfId="0" applyNumberFormat="1" applyFont="1" applyFill="1" applyBorder="1" applyAlignment="1">
      <alignment horizontal="right"/>
    </xf>
    <xf numFmtId="165" fontId="5" fillId="2" borderId="4" xfId="0" applyNumberFormat="1" applyFont="1" applyFill="1" applyBorder="1" applyAlignment="1">
      <alignment horizontal="right"/>
    </xf>
    <xf numFmtId="165" fontId="5" fillId="2" borderId="0" xfId="0" applyNumberFormat="1" applyFont="1" applyFill="1" applyAlignment="1">
      <alignment horizontal="right"/>
    </xf>
    <xf numFmtId="165" fontId="7" fillId="2" borderId="5" xfId="0" applyNumberFormat="1" applyFont="1" applyFill="1" applyBorder="1" applyAlignment="1">
      <alignment horizontal="right"/>
    </xf>
    <xf numFmtId="0" fontId="25" fillId="0" borderId="0" xfId="0" applyFont="1"/>
    <xf numFmtId="4" fontId="28" fillId="0" borderId="0" xfId="0" applyNumberFormat="1" applyFont="1" applyAlignment="1">
      <alignment horizontal="center" vertical="center" wrapText="1"/>
    </xf>
    <xf numFmtId="4" fontId="14" fillId="0" borderId="0" xfId="0" applyNumberFormat="1" applyFont="1" applyAlignment="1">
      <alignment horizontal="center" vertical="center"/>
    </xf>
    <xf numFmtId="4" fontId="26" fillId="0" borderId="0" xfId="0" applyNumberFormat="1" applyFont="1" applyAlignment="1">
      <alignment horizontal="center" vertical="center"/>
    </xf>
    <xf numFmtId="0" fontId="19" fillId="0" borderId="0" xfId="0" applyFont="1" applyAlignment="1">
      <alignment horizontal="center" vertical="center"/>
    </xf>
    <xf numFmtId="165" fontId="27" fillId="0" borderId="0" xfId="0" applyNumberFormat="1" applyFont="1" applyAlignment="1">
      <alignment horizontal="center" vertical="center"/>
    </xf>
    <xf numFmtId="0" fontId="14" fillId="0" borderId="0" xfId="1" applyFont="1" applyAlignment="1">
      <alignment horizontal="center" vertical="center" wrapText="1"/>
    </xf>
    <xf numFmtId="3" fontId="29" fillId="0" borderId="0" xfId="0" applyNumberFormat="1" applyFont="1"/>
    <xf numFmtId="0" fontId="29" fillId="0" borderId="0" xfId="0" applyFont="1"/>
    <xf numFmtId="165" fontId="20" fillId="0" borderId="0" xfId="0" applyNumberFormat="1" applyFont="1"/>
    <xf numFmtId="0" fontId="31" fillId="0" borderId="6" xfId="1" applyFont="1" applyBorder="1" applyAlignment="1">
      <alignment horizontal="center" vertical="center" wrapText="1"/>
    </xf>
    <xf numFmtId="0" fontId="31" fillId="0" borderId="1" xfId="1" applyFont="1" applyBorder="1" applyAlignment="1">
      <alignment horizontal="center" vertical="center" wrapText="1"/>
    </xf>
    <xf numFmtId="0" fontId="31" fillId="0" borderId="2" xfId="1" applyFont="1" applyBorder="1" applyAlignment="1">
      <alignment horizontal="center" vertical="center" wrapText="1"/>
    </xf>
    <xf numFmtId="0" fontId="31" fillId="0" borderId="7" xfId="1" applyFont="1" applyBorder="1" applyAlignment="1">
      <alignment horizontal="center" vertical="center" wrapText="1"/>
    </xf>
    <xf numFmtId="0" fontId="13" fillId="0" borderId="0" xfId="1" applyFont="1" applyAlignment="1">
      <alignment horizontal="left" wrapText="1"/>
    </xf>
    <xf numFmtId="166" fontId="13" fillId="0" borderId="0" xfId="0" applyNumberFormat="1" applyFont="1"/>
    <xf numFmtId="165" fontId="13" fillId="0" borderId="0" xfId="0" applyNumberFormat="1" applyFont="1"/>
    <xf numFmtId="166" fontId="31" fillId="0" borderId="0" xfId="0" applyNumberFormat="1" applyFont="1"/>
    <xf numFmtId="165" fontId="31" fillId="0" borderId="0" xfId="0" applyNumberFormat="1" applyFont="1"/>
    <xf numFmtId="0" fontId="33" fillId="0" borderId="5" xfId="0" applyFont="1" applyBorder="1" applyAlignment="1">
      <alignment vertical="center" wrapText="1"/>
    </xf>
    <xf numFmtId="0" fontId="25" fillId="0" borderId="5" xfId="0" applyFont="1" applyBorder="1" applyAlignment="1">
      <alignment vertical="center" wrapText="1"/>
    </xf>
    <xf numFmtId="165" fontId="31" fillId="0" borderId="5" xfId="0" applyNumberFormat="1" applyFont="1" applyBorder="1"/>
    <xf numFmtId="166" fontId="31" fillId="0" borderId="5" xfId="0" applyNumberFormat="1" applyFont="1" applyBorder="1"/>
    <xf numFmtId="0" fontId="25" fillId="0" borderId="0" xfId="0" applyFont="1" applyAlignment="1">
      <alignment vertical="top"/>
    </xf>
    <xf numFmtId="0" fontId="13" fillId="0" borderId="0" xfId="1" applyFont="1" applyAlignment="1">
      <alignment horizontal="left" vertical="top" wrapText="1"/>
    </xf>
    <xf numFmtId="0" fontId="33" fillId="0" borderId="5" xfId="0" applyFont="1" applyBorder="1" applyAlignment="1">
      <alignment vertical="top" wrapText="1"/>
    </xf>
    <xf numFmtId="166" fontId="13" fillId="0" borderId="0" xfId="0" applyNumberFormat="1" applyFont="1" applyAlignment="1">
      <alignment vertical="top"/>
    </xf>
    <xf numFmtId="165" fontId="13" fillId="0" borderId="0" xfId="0" applyNumberFormat="1" applyFont="1" applyAlignment="1">
      <alignment vertical="top"/>
    </xf>
    <xf numFmtId="0" fontId="25" fillId="0" borderId="0" xfId="0" applyFont="1" applyAlignment="1">
      <alignment vertical="top" wrapText="1"/>
    </xf>
    <xf numFmtId="166" fontId="31" fillId="0" borderId="0" xfId="0" applyNumberFormat="1" applyFont="1" applyAlignment="1">
      <alignment vertical="top"/>
    </xf>
    <xf numFmtId="165" fontId="31" fillId="0" borderId="0" xfId="0" applyNumberFormat="1" applyFont="1" applyAlignment="1">
      <alignment vertical="top"/>
    </xf>
    <xf numFmtId="0" fontId="31" fillId="0" borderId="15" xfId="1" applyFont="1" applyBorder="1" applyAlignment="1">
      <alignment horizontal="center" vertical="center" wrapText="1"/>
    </xf>
    <xf numFmtId="0" fontId="31" fillId="0" borderId="3" xfId="1" applyFont="1" applyBorder="1" applyAlignment="1">
      <alignment horizontal="center" vertical="center" wrapText="1"/>
    </xf>
    <xf numFmtId="0" fontId="31" fillId="0" borderId="9" xfId="1" applyFont="1" applyBorder="1" applyAlignment="1">
      <alignment horizontal="center" vertical="center" wrapText="1"/>
    </xf>
    <xf numFmtId="0" fontId="31" fillId="0" borderId="0" xfId="1" applyFont="1" applyAlignment="1">
      <alignment horizontal="center" vertical="center" wrapText="1"/>
    </xf>
    <xf numFmtId="0" fontId="13" fillId="0" borderId="4" xfId="1" applyFont="1" applyBorder="1" applyAlignment="1">
      <alignment horizontal="left" wrapText="1"/>
    </xf>
    <xf numFmtId="165" fontId="13" fillId="0" borderId="0" xfId="0" applyNumberFormat="1" applyFont="1" applyAlignment="1">
      <alignment horizontal="right"/>
    </xf>
    <xf numFmtId="166" fontId="31" fillId="0" borderId="0" xfId="0" applyNumberFormat="1" applyFont="1" applyAlignment="1">
      <alignment horizontal="right"/>
    </xf>
    <xf numFmtId="165" fontId="31" fillId="0" borderId="0" xfId="0" applyNumberFormat="1" applyFont="1" applyAlignment="1">
      <alignment horizontal="right"/>
    </xf>
    <xf numFmtId="0" fontId="25" fillId="0" borderId="0" xfId="0" applyFont="1" applyAlignment="1">
      <alignment horizontal="left" vertical="center" wrapText="1" indent="2"/>
    </xf>
    <xf numFmtId="165" fontId="31" fillId="0" borderId="0" xfId="0" applyNumberFormat="1" applyFont="1" applyAlignment="1">
      <alignment horizontal="right" vertical="top"/>
    </xf>
    <xf numFmtId="0" fontId="33" fillId="0" borderId="0" xfId="0" applyFont="1" applyAlignment="1">
      <alignment horizontal="left" vertical="center" wrapText="1"/>
    </xf>
    <xf numFmtId="0" fontId="25" fillId="0" borderId="0" xfId="0" applyFont="1" applyAlignment="1">
      <alignment horizontal="left" vertical="top" wrapText="1" indent="2"/>
    </xf>
    <xf numFmtId="0" fontId="13" fillId="0" borderId="4" xfId="1" applyFont="1" applyBorder="1" applyAlignment="1">
      <alignment horizontal="left" vertical="top" wrapText="1"/>
    </xf>
    <xf numFmtId="0" fontId="13" fillId="0" borderId="4" xfId="1" applyFont="1" applyBorder="1" applyAlignment="1">
      <alignment horizontal="left" vertical="center" wrapText="1"/>
    </xf>
    <xf numFmtId="166" fontId="13" fillId="0" borderId="4" xfId="0" applyNumberFormat="1" applyFont="1" applyBorder="1" applyAlignment="1">
      <alignment horizontal="right" vertical="center"/>
    </xf>
    <xf numFmtId="165" fontId="13" fillId="0" borderId="4" xfId="0" applyNumberFormat="1" applyFont="1" applyBorder="1" applyAlignment="1">
      <alignment horizontal="right" vertical="center"/>
    </xf>
    <xf numFmtId="165" fontId="13" fillId="0" borderId="0" xfId="0" applyNumberFormat="1" applyFont="1" applyAlignment="1">
      <alignment horizontal="right" vertical="center"/>
    </xf>
    <xf numFmtId="0" fontId="13" fillId="0" borderId="0" xfId="1" applyFont="1" applyAlignment="1">
      <alignment horizontal="left" vertical="center" wrapText="1"/>
    </xf>
    <xf numFmtId="166" fontId="13" fillId="0" borderId="0" xfId="0" applyNumberFormat="1" applyFont="1" applyAlignment="1">
      <alignment horizontal="right" vertical="center"/>
    </xf>
    <xf numFmtId="166" fontId="31" fillId="0" borderId="0" xfId="0" applyNumberFormat="1" applyFont="1" applyAlignment="1">
      <alignment horizontal="right" vertical="center"/>
    </xf>
    <xf numFmtId="165" fontId="31" fillId="0" borderId="0" xfId="0" applyNumberFormat="1" applyFont="1" applyAlignment="1">
      <alignment horizontal="right" vertical="center"/>
    </xf>
    <xf numFmtId="0" fontId="33" fillId="0" borderId="5" xfId="0" applyFont="1" applyBorder="1" applyAlignment="1">
      <alignment horizontal="left" vertical="center" wrapText="1"/>
    </xf>
    <xf numFmtId="166" fontId="13" fillId="0" borderId="5" xfId="0" applyNumberFormat="1" applyFont="1" applyBorder="1" applyAlignment="1">
      <alignment horizontal="right" vertical="center"/>
    </xf>
    <xf numFmtId="165" fontId="13" fillId="0" borderId="5" xfId="0" applyNumberFormat="1" applyFont="1" applyBorder="1" applyAlignment="1">
      <alignment horizontal="right" vertical="center"/>
    </xf>
    <xf numFmtId="0" fontId="13" fillId="0" borderId="0" xfId="1" applyFont="1" applyAlignment="1">
      <alignment vertical="top" wrapText="1"/>
    </xf>
    <xf numFmtId="0" fontId="31" fillId="0" borderId="11" xfId="1" applyFont="1" applyBorder="1" applyAlignment="1">
      <alignment horizontal="center" vertical="center" wrapText="1"/>
    </xf>
    <xf numFmtId="166" fontId="13" fillId="0" borderId="0" xfId="0" applyNumberFormat="1" applyFont="1" applyAlignment="1">
      <alignment horizontal="right"/>
    </xf>
    <xf numFmtId="0" fontId="13" fillId="0" borderId="0" xfId="1" applyFont="1" applyAlignment="1">
      <alignment horizontal="left" wrapText="1" indent="1"/>
    </xf>
    <xf numFmtId="0" fontId="31" fillId="0" borderId="5" xfId="1" applyFont="1" applyBorder="1" applyAlignment="1">
      <alignment horizontal="center" vertical="center" wrapText="1"/>
    </xf>
    <xf numFmtId="0" fontId="33" fillId="0" borderId="0" xfId="0" applyFont="1" applyAlignment="1">
      <alignment vertical="center" wrapText="1"/>
    </xf>
    <xf numFmtId="0" fontId="33" fillId="0" borderId="0" xfId="0" applyFont="1" applyAlignment="1">
      <alignment horizontal="right"/>
    </xf>
    <xf numFmtId="0" fontId="13" fillId="0" borderId="4" xfId="1" applyFont="1" applyBorder="1" applyAlignment="1">
      <alignment vertical="center" wrapText="1"/>
    </xf>
    <xf numFmtId="0" fontId="13" fillId="0" borderId="0" xfId="1" applyFont="1" applyAlignment="1">
      <alignment horizontal="left" vertical="center" wrapText="1" indent="1"/>
    </xf>
    <xf numFmtId="167" fontId="33" fillId="0" borderId="0" xfId="0" applyNumberFormat="1" applyFont="1" applyAlignment="1">
      <alignment horizontal="center" wrapText="1"/>
    </xf>
    <xf numFmtId="166" fontId="25" fillId="0" borderId="0" xfId="0" applyNumberFormat="1" applyFont="1"/>
    <xf numFmtId="167" fontId="31" fillId="0" borderId="0" xfId="0" applyNumberFormat="1" applyFont="1" applyAlignment="1">
      <alignment horizontal="center"/>
    </xf>
    <xf numFmtId="0" fontId="31" fillId="0" borderId="0" xfId="1" applyFont="1" applyAlignment="1">
      <alignment horizontal="left" vertical="center" wrapText="1" indent="2"/>
    </xf>
    <xf numFmtId="167" fontId="31" fillId="0" borderId="0" xfId="0" applyNumberFormat="1" applyFont="1" applyAlignment="1">
      <alignment horizontal="center" vertical="center"/>
    </xf>
    <xf numFmtId="0" fontId="25" fillId="0" borderId="5" xfId="0" applyFont="1" applyBorder="1" applyAlignment="1">
      <alignment horizontal="left" vertical="top" wrapText="1" indent="2"/>
    </xf>
    <xf numFmtId="166" fontId="25" fillId="0" borderId="5" xfId="0" applyNumberFormat="1" applyFont="1" applyBorder="1"/>
    <xf numFmtId="166" fontId="25" fillId="0" borderId="0" xfId="0" applyNumberFormat="1" applyFont="1" applyAlignment="1">
      <alignment vertical="center"/>
    </xf>
    <xf numFmtId="0" fontId="13" fillId="0" borderId="5" xfId="1" applyFont="1" applyBorder="1" applyAlignment="1">
      <alignment vertical="center" wrapText="1"/>
    </xf>
    <xf numFmtId="0" fontId="25" fillId="0" borderId="5" xfId="0" applyFont="1" applyBorder="1"/>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0" xfId="0" applyFont="1" applyAlignment="1">
      <alignment horizontal="left" vertical="center" wrapText="1"/>
    </xf>
    <xf numFmtId="0" fontId="31" fillId="0" borderId="0" xfId="0" applyFont="1" applyAlignment="1">
      <alignment vertical="top" wrapText="1"/>
    </xf>
    <xf numFmtId="0" fontId="25" fillId="0" borderId="5" xfId="0" applyFont="1" applyBorder="1" applyAlignment="1">
      <alignment vertical="top"/>
    </xf>
    <xf numFmtId="165" fontId="13" fillId="0" borderId="0" xfId="1" applyNumberFormat="1" applyFont="1" applyAlignment="1">
      <alignment horizontal="center" vertical="top" wrapText="1"/>
    </xf>
    <xf numFmtId="165" fontId="31" fillId="0" borderId="0" xfId="1" applyNumberFormat="1" applyFont="1" applyAlignment="1">
      <alignment horizontal="center" vertical="top" wrapText="1"/>
    </xf>
    <xf numFmtId="165" fontId="31" fillId="3" borderId="0" xfId="1" applyNumberFormat="1" applyFont="1" applyFill="1" applyAlignment="1">
      <alignment horizontal="center" vertical="top" wrapText="1"/>
    </xf>
    <xf numFmtId="165" fontId="31" fillId="0" borderId="37" xfId="1" applyNumberFormat="1" applyFont="1" applyBorder="1" applyAlignment="1">
      <alignment horizontal="center" vertical="top" wrapText="1"/>
    </xf>
    <xf numFmtId="0" fontId="33" fillId="0" borderId="0" xfId="0" applyFont="1" applyAlignment="1">
      <alignment vertical="center"/>
    </xf>
    <xf numFmtId="0" fontId="25" fillId="0" borderId="0" xfId="0" applyFont="1" applyAlignment="1">
      <alignment vertical="center" wrapText="1"/>
    </xf>
    <xf numFmtId="165" fontId="31" fillId="0" borderId="0" xfId="1" applyNumberFormat="1" applyFont="1" applyAlignment="1">
      <alignment horizontal="right" vertical="top" wrapText="1"/>
    </xf>
    <xf numFmtId="0" fontId="25" fillId="0" borderId="5" xfId="0" applyFont="1" applyBorder="1" applyAlignment="1">
      <alignment vertical="top" wrapText="1"/>
    </xf>
    <xf numFmtId="166" fontId="31" fillId="0" borderId="5" xfId="0" applyNumberFormat="1" applyFont="1" applyBorder="1" applyAlignment="1">
      <alignment vertical="top"/>
    </xf>
    <xf numFmtId="165" fontId="31" fillId="0" borderId="37" xfId="1" applyNumberFormat="1" applyFont="1" applyBorder="1" applyAlignment="1">
      <alignment horizontal="right" vertical="top" wrapText="1"/>
    </xf>
    <xf numFmtId="165" fontId="13" fillId="0" borderId="0" xfId="1" applyNumberFormat="1" applyFont="1" applyAlignment="1">
      <alignment horizontal="right" vertical="top" wrapText="1"/>
    </xf>
    <xf numFmtId="0" fontId="13" fillId="0" borderId="2" xfId="1" applyFont="1" applyBorder="1" applyAlignment="1">
      <alignment horizontal="center" vertical="center" wrapText="1"/>
    </xf>
    <xf numFmtId="0" fontId="25" fillId="0" borderId="4" xfId="0" applyFont="1" applyBorder="1"/>
    <xf numFmtId="0" fontId="31" fillId="0" borderId="0" xfId="0" applyFont="1" applyAlignment="1">
      <alignment wrapText="1"/>
    </xf>
    <xf numFmtId="0" fontId="31" fillId="0" borderId="4" xfId="0" applyFont="1" applyBorder="1"/>
    <xf numFmtId="0" fontId="31" fillId="0" borderId="0" xfId="0" applyFont="1"/>
    <xf numFmtId="0" fontId="13" fillId="0" borderId="4" xfId="1" applyFont="1" applyBorder="1" applyAlignment="1">
      <alignment horizontal="left" vertical="top"/>
    </xf>
    <xf numFmtId="164" fontId="13" fillId="0" borderId="4" xfId="1" applyNumberFormat="1" applyFont="1" applyBorder="1" applyAlignment="1">
      <alignment horizontal="right" vertical="top"/>
    </xf>
    <xf numFmtId="0" fontId="13" fillId="0" borderId="0" xfId="1" applyFont="1" applyAlignment="1">
      <alignment horizontal="left" vertical="top"/>
    </xf>
    <xf numFmtId="164" fontId="13" fillId="0" borderId="0" xfId="1" applyNumberFormat="1" applyFont="1" applyAlignment="1">
      <alignment horizontal="right" vertical="top"/>
    </xf>
    <xf numFmtId="0" fontId="31" fillId="0" borderId="0" xfId="1" applyFont="1" applyAlignment="1">
      <alignment horizontal="left" vertical="top"/>
    </xf>
    <xf numFmtId="164" fontId="31" fillId="0" borderId="0" xfId="1" applyNumberFormat="1" applyFont="1" applyAlignment="1">
      <alignment horizontal="right" vertical="top"/>
    </xf>
    <xf numFmtId="165" fontId="31" fillId="0" borderId="5" xfId="0" applyNumberFormat="1" applyFont="1" applyBorder="1" applyAlignment="1">
      <alignment vertical="top"/>
    </xf>
    <xf numFmtId="164" fontId="31" fillId="0" borderId="5" xfId="1" applyNumberFormat="1" applyFont="1" applyBorder="1" applyAlignment="1">
      <alignment horizontal="right" vertical="top"/>
    </xf>
    <xf numFmtId="0" fontId="31" fillId="0" borderId="0" xfId="1" applyFont="1" applyAlignment="1">
      <alignment horizontal="left" vertical="top" wrapText="1" indent="1"/>
    </xf>
    <xf numFmtId="0" fontId="31" fillId="0" borderId="5" xfId="1" applyFont="1" applyBorder="1" applyAlignment="1">
      <alignment horizontal="left" vertical="top" wrapText="1" indent="1"/>
    </xf>
    <xf numFmtId="0" fontId="34" fillId="3" borderId="0" xfId="0" applyFont="1" applyFill="1"/>
    <xf numFmtId="0" fontId="31" fillId="3" borderId="2" xfId="0" applyFont="1" applyFill="1" applyBorder="1" applyAlignment="1">
      <alignment horizontal="center" wrapText="1"/>
    </xf>
    <xf numFmtId="0" fontId="31" fillId="3" borderId="3" xfId="0" applyFont="1" applyFill="1" applyBorder="1" applyAlignment="1">
      <alignment horizontal="center" wrapText="1"/>
    </xf>
    <xf numFmtId="0" fontId="13" fillId="3" borderId="0" xfId="0" applyFont="1" applyFill="1" applyAlignment="1">
      <alignment horizontal="right"/>
    </xf>
    <xf numFmtId="0" fontId="31" fillId="3" borderId="0" xfId="0" applyFont="1" applyFill="1" applyAlignment="1">
      <alignment horizontal="right"/>
    </xf>
    <xf numFmtId="0" fontId="31" fillId="3" borderId="0" xfId="0" applyFont="1" applyFill="1" applyAlignment="1">
      <alignment horizontal="left" wrapText="1"/>
    </xf>
    <xf numFmtId="0" fontId="31" fillId="3" borderId="5" xfId="0" applyFont="1" applyFill="1" applyBorder="1" applyAlignment="1">
      <alignment horizontal="left" wrapText="1"/>
    </xf>
    <xf numFmtId="0" fontId="31" fillId="3" borderId="5" xfId="0" applyFont="1" applyFill="1" applyBorder="1" applyAlignment="1">
      <alignment horizontal="right"/>
    </xf>
    <xf numFmtId="0" fontId="27" fillId="0" borderId="0" xfId="0" applyFont="1"/>
    <xf numFmtId="0" fontId="25" fillId="0" borderId="1" xfId="0" applyFont="1" applyBorder="1" applyAlignment="1">
      <alignment horizontal="center" vertical="center" wrapText="1"/>
    </xf>
    <xf numFmtId="0" fontId="31" fillId="0" borderId="0" xfId="1" applyFont="1" applyAlignment="1">
      <alignment horizontal="left" wrapText="1" indent="1"/>
    </xf>
    <xf numFmtId="0" fontId="13" fillId="3" borderId="0" xfId="0" applyFont="1" applyFill="1" applyAlignment="1">
      <alignment horizontal="center" vertical="top" wrapText="1"/>
    </xf>
    <xf numFmtId="0" fontId="25" fillId="3" borderId="0" xfId="0" applyFont="1" applyFill="1"/>
    <xf numFmtId="0" fontId="31" fillId="3" borderId="3" xfId="0" applyFont="1" applyFill="1" applyBorder="1" applyAlignment="1">
      <alignment horizontal="center" vertical="center" wrapText="1"/>
    </xf>
    <xf numFmtId="0" fontId="31" fillId="3" borderId="2" xfId="0" applyFont="1" applyFill="1" applyBorder="1" applyAlignment="1">
      <alignment horizontal="center" vertical="center" wrapText="1"/>
    </xf>
    <xf numFmtId="165" fontId="13" fillId="3" borderId="4" xfId="2" applyNumberFormat="1" applyFont="1" applyFill="1" applyBorder="1" applyAlignment="1" applyProtection="1">
      <alignment horizontal="right" vertical="center"/>
    </xf>
    <xf numFmtId="165" fontId="13" fillId="3" borderId="4" xfId="2" applyNumberFormat="1" applyFont="1" applyFill="1" applyBorder="1" applyAlignment="1">
      <alignment horizontal="right" vertical="center"/>
    </xf>
    <xf numFmtId="165" fontId="31" fillId="3" borderId="0" xfId="2" applyNumberFormat="1" applyFont="1" applyFill="1" applyBorder="1" applyAlignment="1" applyProtection="1">
      <alignment horizontal="right" vertical="center"/>
    </xf>
    <xf numFmtId="165" fontId="31" fillId="3" borderId="0" xfId="0" applyNumberFormat="1" applyFont="1" applyFill="1" applyAlignment="1">
      <alignment vertical="center"/>
    </xf>
    <xf numFmtId="165" fontId="31" fillId="3" borderId="5" xfId="2" applyNumberFormat="1" applyFont="1" applyFill="1" applyBorder="1" applyAlignment="1" applyProtection="1">
      <alignment horizontal="right" vertical="center"/>
    </xf>
    <xf numFmtId="165" fontId="31" fillId="3" borderId="5" xfId="0" applyNumberFormat="1" applyFont="1" applyFill="1" applyBorder="1" applyAlignment="1">
      <alignment vertical="center"/>
    </xf>
    <xf numFmtId="0" fontId="13" fillId="3" borderId="15" xfId="0" applyFont="1" applyFill="1" applyBorder="1" applyAlignment="1">
      <alignment vertical="center" wrapText="1"/>
    </xf>
    <xf numFmtId="169" fontId="13" fillId="3" borderId="5" xfId="2" applyNumberFormat="1" applyFont="1" applyFill="1" applyBorder="1" applyAlignment="1" applyProtection="1">
      <alignment horizontal="right" vertical="center"/>
    </xf>
    <xf numFmtId="0" fontId="25" fillId="0" borderId="18" xfId="0" applyFont="1" applyBorder="1" applyAlignment="1">
      <alignment horizontal="center" vertical="center"/>
    </xf>
    <xf numFmtId="0" fontId="25" fillId="0" borderId="22" xfId="0" applyFont="1" applyBorder="1" applyAlignment="1">
      <alignment horizontal="center" vertical="center"/>
    </xf>
    <xf numFmtId="0" fontId="33" fillId="0" borderId="0" xfId="0" applyFont="1"/>
    <xf numFmtId="166" fontId="33" fillId="0" borderId="0" xfId="0" applyNumberFormat="1" applyFont="1"/>
    <xf numFmtId="165" fontId="33" fillId="0" borderId="0" xfId="5" applyNumberFormat="1" applyFont="1"/>
    <xf numFmtId="49" fontId="33" fillId="0" borderId="0" xfId="0" applyNumberFormat="1" applyFont="1" applyAlignment="1">
      <alignment horizontal="left" indent="1"/>
    </xf>
    <xf numFmtId="49" fontId="25" fillId="0" borderId="0" xfId="0" applyNumberFormat="1" applyFont="1" applyAlignment="1">
      <alignment horizontal="left" indent="2"/>
    </xf>
    <xf numFmtId="165" fontId="25" fillId="0" borderId="0" xfId="5" applyNumberFormat="1" applyFont="1"/>
    <xf numFmtId="49" fontId="25" fillId="0" borderId="23" xfId="0" applyNumberFormat="1" applyFont="1" applyBorder="1" applyAlignment="1">
      <alignment horizontal="left" indent="2"/>
    </xf>
    <xf numFmtId="165" fontId="25" fillId="0" borderId="5" xfId="5" applyNumberFormat="1" applyFont="1" applyBorder="1"/>
    <xf numFmtId="166" fontId="13" fillId="0" borderId="4" xfId="0" applyNumberFormat="1" applyFont="1" applyBorder="1" applyAlignment="1">
      <alignment horizontal="right"/>
    </xf>
    <xf numFmtId="165" fontId="13" fillId="0" borderId="4" xfId="0" applyNumberFormat="1" applyFont="1" applyBorder="1" applyAlignment="1">
      <alignment horizontal="right"/>
    </xf>
    <xf numFmtId="0" fontId="31" fillId="0" borderId="14" xfId="1" applyFont="1" applyBorder="1" applyAlignment="1">
      <alignment horizontal="center" vertical="center" wrapText="1"/>
    </xf>
    <xf numFmtId="0" fontId="33" fillId="0" borderId="0" xfId="0" applyFont="1" applyAlignment="1">
      <alignment horizontal="left" vertical="center" wrapText="1" indent="1"/>
    </xf>
    <xf numFmtId="0" fontId="33" fillId="0" borderId="0" xfId="0" applyFont="1" applyAlignment="1">
      <alignment horizontal="left" vertical="center" wrapText="1" indent="2"/>
    </xf>
    <xf numFmtId="0" fontId="33" fillId="0" borderId="23" xfId="0" applyFont="1" applyBorder="1" applyAlignment="1">
      <alignment horizontal="left" vertical="center" wrapText="1" indent="1"/>
    </xf>
    <xf numFmtId="166" fontId="13" fillId="0" borderId="23" xfId="0" applyNumberFormat="1" applyFont="1" applyBorder="1" applyAlignment="1">
      <alignment horizontal="right" vertical="center"/>
    </xf>
    <xf numFmtId="165" fontId="13" fillId="0" borderId="23" xfId="0" applyNumberFormat="1" applyFont="1" applyBorder="1" applyAlignment="1">
      <alignment horizontal="right" vertical="center"/>
    </xf>
    <xf numFmtId="166" fontId="13" fillId="3" borderId="0" xfId="0" applyNumberFormat="1" applyFont="1" applyFill="1" applyAlignment="1">
      <alignment horizontal="right"/>
    </xf>
    <xf numFmtId="165" fontId="13" fillId="3" borderId="0" xfId="0" applyNumberFormat="1" applyFont="1" applyFill="1" applyAlignment="1">
      <alignment horizontal="right"/>
    </xf>
    <xf numFmtId="166" fontId="31" fillId="3" borderId="0" xfId="0" applyNumberFormat="1" applyFont="1" applyFill="1" applyAlignment="1">
      <alignment horizontal="right"/>
    </xf>
    <xf numFmtId="165" fontId="31" fillId="3" borderId="0" xfId="0" applyNumberFormat="1" applyFont="1" applyFill="1" applyAlignment="1">
      <alignment horizontal="right"/>
    </xf>
    <xf numFmtId="0" fontId="25" fillId="0" borderId="5" xfId="0" applyFont="1" applyBorder="1" applyAlignment="1">
      <alignment horizontal="left" vertical="center" wrapText="1"/>
    </xf>
    <xf numFmtId="166" fontId="31" fillId="3" borderId="5" xfId="0" applyNumberFormat="1" applyFont="1" applyFill="1" applyBorder="1" applyAlignment="1">
      <alignment horizontal="right"/>
    </xf>
    <xf numFmtId="165" fontId="31" fillId="3" borderId="5" xfId="0" applyNumberFormat="1" applyFont="1" applyFill="1" applyBorder="1" applyAlignment="1">
      <alignment horizontal="right"/>
    </xf>
    <xf numFmtId="166" fontId="13" fillId="0" borderId="0" xfId="0" applyNumberFormat="1" applyFont="1" applyAlignment="1">
      <alignment vertical="center"/>
    </xf>
    <xf numFmtId="165" fontId="13" fillId="0" borderId="0" xfId="0" applyNumberFormat="1" applyFont="1" applyAlignment="1">
      <alignment horizontal="center" vertical="center"/>
    </xf>
    <xf numFmtId="0" fontId="25" fillId="0" borderId="0" xfId="0" applyFont="1" applyAlignment="1">
      <alignment vertical="center"/>
    </xf>
    <xf numFmtId="166" fontId="31" fillId="0" borderId="0" xfId="0" applyNumberFormat="1" applyFont="1" applyAlignment="1">
      <alignment vertical="center"/>
    </xf>
    <xf numFmtId="165" fontId="31" fillId="0" borderId="0" xfId="0" applyNumberFormat="1" applyFont="1" applyAlignment="1">
      <alignment horizontal="center" vertical="center"/>
    </xf>
    <xf numFmtId="166" fontId="31" fillId="0" borderId="37" xfId="0" applyNumberFormat="1" applyFont="1" applyBorder="1" applyAlignment="1">
      <alignment vertical="center"/>
    </xf>
    <xf numFmtId="165" fontId="31" fillId="0" borderId="37" xfId="0" applyNumberFormat="1" applyFont="1" applyBorder="1" applyAlignment="1">
      <alignment horizontal="center" vertical="center"/>
    </xf>
    <xf numFmtId="165" fontId="13" fillId="0" borderId="37" xfId="0" applyNumberFormat="1" applyFont="1" applyBorder="1" applyAlignment="1">
      <alignment horizontal="center" vertical="center"/>
    </xf>
    <xf numFmtId="0" fontId="13" fillId="0" borderId="0" xfId="1" applyFont="1" applyAlignment="1">
      <alignment vertical="center" wrapText="1"/>
    </xf>
    <xf numFmtId="0" fontId="31" fillId="0" borderId="0" xfId="1" applyFont="1" applyAlignment="1">
      <alignment horizontal="left" vertical="center" wrapText="1" indent="4"/>
    </xf>
    <xf numFmtId="0" fontId="25" fillId="0" borderId="0" xfId="0" applyFont="1" applyAlignment="1">
      <alignment horizontal="left" vertical="center" wrapText="1" indent="4"/>
    </xf>
    <xf numFmtId="0" fontId="25" fillId="0" borderId="5" xfId="0" applyFont="1" applyBorder="1" applyAlignment="1">
      <alignment horizontal="left" vertical="center" wrapText="1" indent="2"/>
    </xf>
    <xf numFmtId="0" fontId="31" fillId="0" borderId="0" xfId="1" applyFont="1" applyAlignment="1">
      <alignment horizontal="left" wrapText="1" indent="2"/>
    </xf>
    <xf numFmtId="166" fontId="36" fillId="0" borderId="0" xfId="0" applyNumberFormat="1" applyFont="1"/>
    <xf numFmtId="165" fontId="36" fillId="0" borderId="0" xfId="0" applyNumberFormat="1" applyFont="1"/>
    <xf numFmtId="165" fontId="31" fillId="0" borderId="5" xfId="0" applyNumberFormat="1" applyFont="1" applyBorder="1" applyAlignment="1">
      <alignment horizontal="right"/>
    </xf>
    <xf numFmtId="0" fontId="13" fillId="0" borderId="4" xfId="1" applyFont="1" applyBorder="1" applyAlignment="1">
      <alignment horizontal="left" indent="1"/>
    </xf>
    <xf numFmtId="165" fontId="13" fillId="4" borderId="0" xfId="0" applyNumberFormat="1" applyFont="1" applyFill="1"/>
    <xf numFmtId="0" fontId="13" fillId="0" borderId="0" xfId="1" applyFont="1" applyAlignment="1">
      <alignment horizontal="left" indent="1"/>
    </xf>
    <xf numFmtId="166" fontId="13" fillId="4" borderId="0" xfId="0" applyNumberFormat="1" applyFont="1" applyFill="1"/>
    <xf numFmtId="0" fontId="31" fillId="0" borderId="0" xfId="1" applyFont="1" applyAlignment="1">
      <alignment horizontal="left" indent="1"/>
    </xf>
    <xf numFmtId="166" fontId="31" fillId="4" borderId="0" xfId="0" applyNumberFormat="1" applyFont="1" applyFill="1"/>
    <xf numFmtId="165" fontId="31" fillId="4" borderId="0" xfId="0" applyNumberFormat="1" applyFont="1" applyFill="1"/>
    <xf numFmtId="0" fontId="2" fillId="0" borderId="0" xfId="1" applyFont="1" applyAlignment="1">
      <alignment horizontal="left" vertical="top"/>
    </xf>
    <xf numFmtId="0" fontId="13" fillId="0" borderId="7" xfId="1" applyFont="1" applyBorder="1" applyAlignment="1">
      <alignment horizontal="center" vertical="center" wrapText="1"/>
    </xf>
    <xf numFmtId="165" fontId="33" fillId="0" borderId="0" xfId="0" applyNumberFormat="1" applyFont="1" applyAlignment="1">
      <alignment vertical="center" wrapText="1"/>
    </xf>
    <xf numFmtId="165" fontId="25" fillId="0" borderId="0" xfId="0" applyNumberFormat="1" applyFont="1" applyAlignment="1">
      <alignment vertical="center" wrapText="1"/>
    </xf>
    <xf numFmtId="166" fontId="31" fillId="0" borderId="0" xfId="0" applyNumberFormat="1" applyFont="1" applyAlignment="1">
      <alignment horizontal="left" indent="2"/>
    </xf>
    <xf numFmtId="0" fontId="25" fillId="0" borderId="0" xfId="0" applyFont="1" applyAlignment="1">
      <alignment horizontal="left" indent="2"/>
    </xf>
    <xf numFmtId="0" fontId="33" fillId="0" borderId="0" xfId="0" applyFont="1" applyAlignment="1">
      <alignment horizontal="left" indent="2"/>
    </xf>
    <xf numFmtId="165" fontId="33" fillId="0" borderId="5" xfId="0" applyNumberFormat="1" applyFont="1" applyBorder="1" applyAlignment="1">
      <alignment vertical="center" wrapText="1"/>
    </xf>
    <xf numFmtId="165" fontId="25" fillId="0" borderId="5" xfId="0" applyNumberFormat="1" applyFont="1" applyBorder="1" applyAlignment="1">
      <alignment vertical="center" wrapText="1"/>
    </xf>
    <xf numFmtId="0" fontId="25" fillId="0" borderId="4" xfId="0" applyFont="1" applyBorder="1" applyAlignment="1">
      <alignment horizontal="left" vertical="top" wrapText="1"/>
    </xf>
    <xf numFmtId="0" fontId="28" fillId="0" borderId="0" xfId="0" applyFont="1" applyAlignment="1">
      <alignment horizontal="left"/>
    </xf>
    <xf numFmtId="0" fontId="27" fillId="0" borderId="0" xfId="0" applyFont="1" applyAlignment="1">
      <alignment horizontal="left"/>
    </xf>
    <xf numFmtId="0" fontId="25" fillId="0" borderId="0" xfId="0" applyFont="1" applyAlignment="1">
      <alignment horizontal="center" vertical="center" wrapText="1"/>
    </xf>
    <xf numFmtId="0" fontId="25" fillId="0" borderId="15" xfId="0" applyFont="1" applyBorder="1" applyAlignment="1">
      <alignment horizontal="center" vertical="center" wrapText="1"/>
    </xf>
    <xf numFmtId="165" fontId="25" fillId="0" borderId="0" xfId="0" applyNumberFormat="1" applyFont="1"/>
    <xf numFmtId="0" fontId="25" fillId="0" borderId="0" xfId="0" quotePrefix="1" applyFont="1" applyAlignment="1">
      <alignment horizontal="right"/>
    </xf>
    <xf numFmtId="0" fontId="31" fillId="0" borderId="0" xfId="0" applyFont="1" applyAlignment="1">
      <alignment vertical="center"/>
    </xf>
    <xf numFmtId="0" fontId="25" fillId="0" borderId="0" xfId="0" applyFont="1" applyAlignment="1">
      <alignment horizontal="right"/>
    </xf>
    <xf numFmtId="0" fontId="25" fillId="0" borderId="5" xfId="0" applyFont="1" applyBorder="1" applyAlignment="1">
      <alignment horizontal="right"/>
    </xf>
    <xf numFmtId="0" fontId="31" fillId="0" borderId="5" xfId="0" applyFont="1" applyBorder="1" applyAlignment="1">
      <alignment vertical="center"/>
    </xf>
    <xf numFmtId="165" fontId="25" fillId="0" borderId="5" xfId="0" applyNumberFormat="1" applyFont="1" applyBorder="1"/>
    <xf numFmtId="0" fontId="33" fillId="0" borderId="4" xfId="0" applyFont="1" applyBorder="1" applyAlignment="1">
      <alignment horizontal="center" vertical="center" wrapText="1"/>
    </xf>
    <xf numFmtId="0" fontId="25" fillId="0" borderId="4" xfId="0" applyFont="1" applyBorder="1" applyAlignment="1">
      <alignment horizontal="right" wrapText="1"/>
    </xf>
    <xf numFmtId="0" fontId="25" fillId="0" borderId="0" xfId="0" applyFont="1" applyAlignment="1">
      <alignment horizontal="right" wrapText="1"/>
    </xf>
    <xf numFmtId="0" fontId="33" fillId="0" borderId="0" xfId="0" applyFont="1" applyAlignment="1">
      <alignment horizontal="left" vertical="top" wrapText="1" indent="1"/>
    </xf>
    <xf numFmtId="0" fontId="25" fillId="0" borderId="0" xfId="0" applyFont="1" applyAlignment="1">
      <alignment horizontal="center" vertical="top" wrapText="1"/>
    </xf>
    <xf numFmtId="0" fontId="25" fillId="0" borderId="5" xfId="0" applyFont="1" applyBorder="1" applyAlignment="1">
      <alignment horizontal="center" vertical="top" wrapText="1"/>
    </xf>
    <xf numFmtId="0" fontId="30" fillId="0" borderId="5" xfId="0" applyFont="1" applyBorder="1" applyAlignment="1">
      <alignment horizontal="center"/>
    </xf>
    <xf numFmtId="0" fontId="30" fillId="0" borderId="0" xfId="0" applyFont="1" applyAlignment="1">
      <alignment horizontal="center"/>
    </xf>
    <xf numFmtId="0" fontId="25" fillId="0" borderId="8" xfId="0" applyFont="1" applyBorder="1" applyAlignment="1">
      <alignment horizontal="center" vertical="center" wrapText="1"/>
    </xf>
    <xf numFmtId="0" fontId="25" fillId="0" borderId="4" xfId="0" applyFont="1" applyBorder="1" applyAlignment="1">
      <alignment horizontal="right"/>
    </xf>
    <xf numFmtId="0" fontId="0" fillId="0" borderId="29" xfId="0" applyBorder="1"/>
    <xf numFmtId="0" fontId="37" fillId="0" borderId="3" xfId="1" applyFont="1" applyBorder="1" applyAlignment="1">
      <alignment horizontal="center" vertical="center" wrapText="1"/>
    </xf>
    <xf numFmtId="166" fontId="38" fillId="0" borderId="0" xfId="1" applyNumberFormat="1" applyFont="1"/>
    <xf numFmtId="166" fontId="37" fillId="0" borderId="0" xfId="1" applyNumberFormat="1" applyFont="1"/>
    <xf numFmtId="0" fontId="39" fillId="0" borderId="0" xfId="0" applyFont="1" applyAlignment="1">
      <alignment horizontal="right"/>
    </xf>
    <xf numFmtId="0" fontId="37" fillId="0" borderId="0" xfId="0" applyFont="1" applyAlignment="1">
      <alignment vertical="center"/>
    </xf>
    <xf numFmtId="0" fontId="13" fillId="3" borderId="4" xfId="0" applyFont="1" applyFill="1" applyBorder="1" applyAlignment="1">
      <alignment horizontal="left"/>
    </xf>
    <xf numFmtId="0" fontId="31" fillId="3" borderId="0" xfId="0" applyFont="1" applyFill="1" applyAlignment="1">
      <alignment horizontal="left" vertical="center" wrapText="1" indent="1"/>
    </xf>
    <xf numFmtId="0" fontId="31" fillId="3" borderId="5" xfId="0" applyFont="1" applyFill="1" applyBorder="1" applyAlignment="1">
      <alignment horizontal="left" vertical="center" wrapText="1" indent="1"/>
    </xf>
    <xf numFmtId="0" fontId="25" fillId="0" borderId="0" xfId="0" applyFont="1" applyAlignment="1">
      <alignment horizontal="left" vertical="center" wrapText="1" indent="1"/>
    </xf>
    <xf numFmtId="0" fontId="25" fillId="0" borderId="5" xfId="0" applyFont="1" applyBorder="1" applyAlignment="1">
      <alignment horizontal="left" vertical="center" wrapText="1" indent="1"/>
    </xf>
    <xf numFmtId="169" fontId="13" fillId="3" borderId="15" xfId="2" applyNumberFormat="1" applyFont="1" applyFill="1" applyBorder="1" applyAlignment="1" applyProtection="1">
      <alignment horizontal="right" vertical="center"/>
    </xf>
    <xf numFmtId="0" fontId="13" fillId="0" borderId="9" xfId="1" applyFont="1" applyBorder="1" applyAlignment="1">
      <alignment horizontal="center" vertical="center" wrapText="1"/>
    </xf>
    <xf numFmtId="165" fontId="37" fillId="0" borderId="0" xfId="1" applyNumberFormat="1" applyFont="1"/>
    <xf numFmtId="0" fontId="37" fillId="0" borderId="0" xfId="1" applyFont="1" applyAlignment="1">
      <alignment horizontal="left" vertical="center" indent="1"/>
    </xf>
    <xf numFmtId="0" fontId="37" fillId="0" borderId="0" xfId="1" applyFont="1"/>
    <xf numFmtId="165" fontId="38" fillId="0" borderId="4" xfId="1" applyNumberFormat="1" applyFont="1" applyBorder="1"/>
    <xf numFmtId="166" fontId="38" fillId="0" borderId="4" xfId="1" applyNumberFormat="1" applyFont="1" applyBorder="1"/>
    <xf numFmtId="165" fontId="38" fillId="0" borderId="0" xfId="1" applyNumberFormat="1" applyFont="1"/>
    <xf numFmtId="0" fontId="37" fillId="0" borderId="2" xfId="1" applyFont="1" applyBorder="1" applyAlignment="1">
      <alignment horizontal="center" vertical="center" wrapText="1"/>
    </xf>
    <xf numFmtId="0" fontId="37" fillId="0" borderId="2" xfId="1" applyFont="1" applyBorder="1" applyAlignment="1">
      <alignment horizontal="center" vertical="center"/>
    </xf>
    <xf numFmtId="0" fontId="37" fillId="3" borderId="0" xfId="0" applyFont="1" applyFill="1" applyAlignment="1">
      <alignment horizontal="left" wrapText="1" indent="1"/>
    </xf>
    <xf numFmtId="0" fontId="37" fillId="3" borderId="5" xfId="0" applyFont="1" applyFill="1" applyBorder="1" applyAlignment="1">
      <alignment horizontal="left" wrapText="1" indent="1"/>
    </xf>
    <xf numFmtId="0" fontId="38" fillId="0" borderId="4" xfId="1" applyFont="1" applyBorder="1" applyAlignment="1">
      <alignment horizontal="left"/>
    </xf>
    <xf numFmtId="0" fontId="38" fillId="0" borderId="0" xfId="1" applyFont="1" applyAlignment="1">
      <alignment horizontal="left" indent="1"/>
    </xf>
    <xf numFmtId="166" fontId="13" fillId="0" borderId="5" xfId="0" applyNumberFormat="1" applyFont="1" applyBorder="1" applyAlignment="1">
      <alignment horizontal="right"/>
    </xf>
    <xf numFmtId="165" fontId="13" fillId="0" borderId="5" xfId="0" applyNumberFormat="1" applyFont="1" applyBorder="1" applyAlignment="1">
      <alignment horizontal="right"/>
    </xf>
    <xf numFmtId="0" fontId="22" fillId="0" borderId="0" xfId="0" applyFont="1" applyAlignment="1">
      <alignment vertical="center" wrapText="1"/>
    </xf>
    <xf numFmtId="0" fontId="14" fillId="0" borderId="0" xfId="0" applyFont="1" applyAlignment="1">
      <alignment wrapText="1"/>
    </xf>
    <xf numFmtId="0" fontId="14" fillId="0" borderId="0" xfId="0" applyFont="1" applyAlignment="1">
      <alignment vertical="center"/>
    </xf>
    <xf numFmtId="165" fontId="13" fillId="3" borderId="4" xfId="0" applyNumberFormat="1" applyFont="1" applyFill="1" applyBorder="1"/>
    <xf numFmtId="0" fontId="13" fillId="0" borderId="5" xfId="1" applyFont="1" applyBorder="1" applyAlignment="1">
      <alignment horizontal="left" wrapText="1"/>
    </xf>
    <xf numFmtId="3" fontId="38" fillId="0" borderId="0" xfId="1" applyNumberFormat="1" applyFont="1" applyAlignment="1">
      <alignment horizontal="right" wrapText="1"/>
    </xf>
    <xf numFmtId="3" fontId="13" fillId="0" borderId="0" xfId="1" applyNumberFormat="1" applyFont="1" applyAlignment="1">
      <alignment horizontal="right" wrapText="1"/>
    </xf>
    <xf numFmtId="3" fontId="37" fillId="0" borderId="0" xfId="1" applyNumberFormat="1" applyFont="1" applyAlignment="1">
      <alignment horizontal="right"/>
    </xf>
    <xf numFmtId="3" fontId="40" fillId="0" borderId="0" xfId="0" applyNumberFormat="1" applyFont="1" applyAlignment="1">
      <alignment horizontal="right" wrapText="1"/>
    </xf>
    <xf numFmtId="3" fontId="39" fillId="0" borderId="0" xfId="0" applyNumberFormat="1" applyFont="1" applyAlignment="1">
      <alignment horizontal="right" wrapText="1"/>
    </xf>
    <xf numFmtId="3" fontId="40" fillId="0" borderId="0" xfId="0" applyNumberFormat="1" applyFont="1" applyAlignment="1">
      <alignment wrapText="1"/>
    </xf>
    <xf numFmtId="3" fontId="37" fillId="0" borderId="0" xfId="1" applyNumberFormat="1" applyFont="1" applyAlignment="1">
      <alignment horizontal="right" wrapText="1"/>
    </xf>
    <xf numFmtId="3" fontId="39" fillId="0" borderId="5" xfId="0" applyNumberFormat="1" applyFont="1" applyBorder="1" applyAlignment="1">
      <alignment horizontal="right" wrapText="1"/>
    </xf>
    <xf numFmtId="0" fontId="13" fillId="0" borderId="4" xfId="1" applyFont="1" applyBorder="1" applyAlignment="1">
      <alignment wrapText="1"/>
    </xf>
    <xf numFmtId="4" fontId="33" fillId="0" borderId="0" xfId="0" applyNumberFormat="1" applyFont="1" applyAlignment="1">
      <alignment horizontal="center" wrapText="1"/>
    </xf>
    <xf numFmtId="4" fontId="13" fillId="0" borderId="0" xfId="0" applyNumberFormat="1" applyFont="1" applyAlignment="1">
      <alignment horizontal="center"/>
    </xf>
    <xf numFmtId="4" fontId="31" fillId="0" borderId="0" xfId="0" applyNumberFormat="1" applyFont="1" applyAlignment="1">
      <alignment horizontal="center"/>
    </xf>
    <xf numFmtId="4" fontId="31" fillId="0" borderId="5" xfId="0" applyNumberFormat="1" applyFont="1" applyBorder="1" applyAlignment="1">
      <alignment horizontal="center"/>
    </xf>
    <xf numFmtId="0" fontId="37" fillId="0" borderId="5" xfId="1" applyFont="1" applyBorder="1" applyAlignment="1">
      <alignment horizontal="left" vertical="center" indent="1"/>
    </xf>
    <xf numFmtId="166" fontId="37" fillId="0" borderId="5" xfId="1" applyNumberFormat="1" applyFont="1" applyBorder="1"/>
    <xf numFmtId="165" fontId="37" fillId="0" borderId="5" xfId="1" applyNumberFormat="1" applyFont="1" applyBorder="1"/>
    <xf numFmtId="0" fontId="33" fillId="0" borderId="0" xfId="0" applyFont="1" applyAlignment="1">
      <alignment horizontal="left" wrapText="1" indent="1"/>
    </xf>
    <xf numFmtId="0" fontId="25" fillId="0" borderId="0" xfId="0" applyFont="1" applyAlignment="1">
      <alignment horizontal="left" wrapText="1" indent="2"/>
    </xf>
    <xf numFmtId="165" fontId="14" fillId="0" borderId="0" xfId="1" applyNumberFormat="1" applyFont="1" applyAlignment="1">
      <alignment horizontal="center" vertical="center" wrapText="1"/>
    </xf>
    <xf numFmtId="173" fontId="25" fillId="0" borderId="0" xfId="5" applyNumberFormat="1" applyFont="1"/>
    <xf numFmtId="165" fontId="25" fillId="0" borderId="0" xfId="0" applyNumberFormat="1" applyFont="1" applyAlignment="1">
      <alignment vertical="top"/>
    </xf>
    <xf numFmtId="165" fontId="33" fillId="0" borderId="0" xfId="0" applyNumberFormat="1" applyFont="1" applyAlignment="1">
      <alignment vertical="top"/>
    </xf>
    <xf numFmtId="165" fontId="25" fillId="0" borderId="5" xfId="0" applyNumberFormat="1" applyFont="1" applyBorder="1" applyAlignment="1">
      <alignment vertical="top"/>
    </xf>
    <xf numFmtId="172" fontId="31" fillId="0" borderId="0" xfId="0" applyNumberFormat="1" applyFont="1" applyAlignment="1">
      <alignment vertical="top"/>
    </xf>
    <xf numFmtId="166" fontId="31" fillId="0" borderId="0" xfId="0" applyNumberFormat="1" applyFont="1" applyAlignment="1">
      <alignment vertical="top" wrapText="1"/>
    </xf>
    <xf numFmtId="0" fontId="14" fillId="0" borderId="0" xfId="0" applyFont="1" applyAlignment="1">
      <alignment vertical="top" wrapText="1"/>
    </xf>
    <xf numFmtId="0" fontId="27" fillId="0" borderId="0" xfId="0" applyFont="1" applyAlignment="1">
      <alignment horizontal="right"/>
    </xf>
    <xf numFmtId="0" fontId="17" fillId="0" borderId="0" xfId="0" applyFont="1" applyAlignment="1">
      <alignment vertical="center"/>
    </xf>
    <xf numFmtId="0" fontId="25" fillId="0" borderId="5" xfId="0" applyFont="1" applyBorder="1" applyAlignment="1">
      <alignment horizontal="center"/>
    </xf>
    <xf numFmtId="0" fontId="13" fillId="0" borderId="0" xfId="1" applyFont="1" applyAlignment="1">
      <alignment vertical="center"/>
    </xf>
    <xf numFmtId="0" fontId="25" fillId="0" borderId="0" xfId="0" applyFont="1" applyAlignment="1">
      <alignment horizontal="center"/>
    </xf>
    <xf numFmtId="0" fontId="33" fillId="0" borderId="0" xfId="0" applyFont="1" applyAlignment="1">
      <alignment horizontal="left"/>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3" xfId="0" applyFont="1" applyBorder="1" applyAlignment="1">
      <alignment horizontal="center" vertical="center"/>
    </xf>
    <xf numFmtId="165" fontId="25" fillId="0" borderId="0" xfId="0" applyNumberFormat="1" applyFont="1" applyAlignment="1">
      <alignment horizontal="center"/>
    </xf>
    <xf numFmtId="165" fontId="25" fillId="0" borderId="5" xfId="0" applyNumberFormat="1" applyFont="1" applyBorder="1" applyAlignment="1">
      <alignment horizontal="center"/>
    </xf>
    <xf numFmtId="0" fontId="31" fillId="0" borderId="1" xfId="6" applyFont="1" applyBorder="1" applyAlignment="1">
      <alignment horizontal="center" vertical="center"/>
    </xf>
    <xf numFmtId="0" fontId="32" fillId="5" borderId="2" xfId="6" applyFont="1" applyFill="1" applyBorder="1" applyAlignment="1">
      <alignment horizontal="center" vertical="center" wrapText="1"/>
    </xf>
    <xf numFmtId="0" fontId="32" fillId="5" borderId="3" xfId="6" applyFont="1" applyFill="1" applyBorder="1" applyAlignment="1">
      <alignment horizontal="center" vertical="center" wrapText="1"/>
    </xf>
    <xf numFmtId="174" fontId="31" fillId="0" borderId="0" xfId="4" applyNumberFormat="1" applyFont="1" applyBorder="1" applyAlignment="1" applyProtection="1">
      <alignment horizontal="left" vertical="center" wrapText="1"/>
    </xf>
    <xf numFmtId="175" fontId="31" fillId="0" borderId="0" xfId="4" applyNumberFormat="1" applyFont="1" applyBorder="1" applyAlignment="1" applyProtection="1">
      <alignment horizontal="center" vertical="center" wrapText="1"/>
    </xf>
    <xf numFmtId="174" fontId="31" fillId="0" borderId="5" xfId="4" applyNumberFormat="1" applyFont="1" applyBorder="1" applyAlignment="1" applyProtection="1">
      <alignment horizontal="left" vertical="center" wrapText="1"/>
    </xf>
    <xf numFmtId="175" fontId="31" fillId="0" borderId="5" xfId="4" applyNumberFormat="1" applyFont="1" applyBorder="1" applyAlignment="1" applyProtection="1">
      <alignment horizontal="center" vertical="center" wrapText="1"/>
    </xf>
    <xf numFmtId="0" fontId="27" fillId="0" borderId="0" xfId="0" applyFont="1" applyAlignment="1">
      <alignment horizontal="center" vertical="top" wrapText="1"/>
    </xf>
    <xf numFmtId="0" fontId="27" fillId="0" borderId="0" xfId="0" applyFont="1" applyAlignment="1">
      <alignment horizontal="left" vertical="center" wrapText="1" indent="2"/>
    </xf>
    <xf numFmtId="0" fontId="14" fillId="0" borderId="0" xfId="0" applyFont="1" applyAlignment="1">
      <alignment horizontal="left" vertical="top" wrapText="1" indent="2"/>
    </xf>
    <xf numFmtId="0" fontId="14" fillId="0" borderId="0" xfId="0" applyFont="1" applyAlignment="1">
      <alignment horizontal="left" vertical="center" wrapText="1" indent="2"/>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13" fillId="0" borderId="0" xfId="1" applyFont="1" applyAlignment="1">
      <alignment horizontal="center" vertical="top" wrapText="1"/>
    </xf>
    <xf numFmtId="0" fontId="31" fillId="0" borderId="8" xfId="1" applyFont="1" applyBorder="1" applyAlignment="1">
      <alignment horizontal="center" vertical="center" wrapText="1"/>
    </xf>
    <xf numFmtId="0" fontId="31" fillId="0" borderId="9" xfId="1" applyFont="1" applyBorder="1" applyAlignment="1">
      <alignment horizontal="center" vertical="center" wrapText="1"/>
    </xf>
    <xf numFmtId="0" fontId="31" fillId="0" borderId="6"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3" xfId="1" applyFont="1" applyBorder="1" applyAlignment="1">
      <alignment horizontal="center" vertical="center"/>
    </xf>
    <xf numFmtId="0" fontId="31" fillId="0" borderId="1" xfId="1" applyFont="1" applyBorder="1" applyAlignment="1">
      <alignment horizontal="center" vertical="center"/>
    </xf>
    <xf numFmtId="0" fontId="31" fillId="0" borderId="3" xfId="1" applyFont="1" applyBorder="1" applyAlignment="1">
      <alignment horizontal="center" vertical="center" wrapText="1"/>
    </xf>
    <xf numFmtId="0" fontId="31" fillId="0" borderId="1" xfId="1" applyFont="1" applyBorder="1" applyAlignment="1">
      <alignment horizontal="center" vertical="center" wrapText="1"/>
    </xf>
    <xf numFmtId="0" fontId="31" fillId="0" borderId="0" xfId="0" applyFont="1" applyAlignment="1">
      <alignment horizontal="left" vertical="top" wrapText="1"/>
    </xf>
    <xf numFmtId="0" fontId="14" fillId="0" borderId="4" xfId="0" applyFont="1" applyBorder="1" applyAlignment="1">
      <alignment horizontal="left" wrapText="1"/>
    </xf>
    <xf numFmtId="0" fontId="14" fillId="0" borderId="0" xfId="0" applyFont="1" applyAlignment="1">
      <alignment horizontal="left" vertical="center" wrapText="1"/>
    </xf>
    <xf numFmtId="0" fontId="14" fillId="0" borderId="0" xfId="0" applyFont="1" applyAlignment="1">
      <alignment horizontal="left" vertical="top" wrapText="1"/>
    </xf>
    <xf numFmtId="0" fontId="31" fillId="0" borderId="12" xfId="1" applyFont="1" applyBorder="1" applyAlignment="1">
      <alignment horizontal="center" vertical="center" wrapText="1"/>
    </xf>
    <xf numFmtId="0" fontId="31" fillId="0" borderId="13" xfId="1" applyFont="1" applyBorder="1" applyAlignment="1">
      <alignment horizontal="center" vertical="center" wrapText="1"/>
    </xf>
    <xf numFmtId="0" fontId="31" fillId="0" borderId="2" xfId="1" applyFont="1" applyBorder="1" applyAlignment="1">
      <alignment horizontal="center" vertical="center"/>
    </xf>
    <xf numFmtId="0" fontId="37" fillId="0" borderId="3" xfId="1" applyFont="1" applyBorder="1" applyAlignment="1">
      <alignment horizontal="center" vertical="center" wrapText="1"/>
    </xf>
    <xf numFmtId="0" fontId="37" fillId="0" borderId="1" xfId="1" applyFont="1" applyBorder="1" applyAlignment="1">
      <alignment horizontal="center" vertical="center" wrapText="1"/>
    </xf>
    <xf numFmtId="0" fontId="25" fillId="0" borderId="6" xfId="0" applyFont="1" applyBorder="1" applyAlignment="1">
      <alignment horizontal="center" wrapText="1"/>
    </xf>
    <xf numFmtId="0" fontId="25" fillId="0" borderId="7" xfId="0" applyFont="1" applyBorder="1" applyAlignment="1">
      <alignment horizontal="center" wrapText="1"/>
    </xf>
    <xf numFmtId="0" fontId="14" fillId="3" borderId="0" xfId="0" applyFont="1" applyFill="1" applyAlignment="1">
      <alignment wrapText="1"/>
    </xf>
    <xf numFmtId="0" fontId="31" fillId="3" borderId="8" xfId="0" applyFont="1" applyFill="1" applyBorder="1" applyAlignment="1">
      <alignment horizontal="center" wrapText="1"/>
    </xf>
    <xf numFmtId="0" fontId="31" fillId="3" borderId="29" xfId="0" applyFont="1" applyFill="1" applyBorder="1" applyAlignment="1">
      <alignment horizontal="center" wrapText="1"/>
    </xf>
    <xf numFmtId="0" fontId="31" fillId="3" borderId="4" xfId="0" applyFont="1" applyFill="1" applyBorder="1" applyAlignment="1">
      <alignment horizontal="center" wrapText="1"/>
    </xf>
    <xf numFmtId="0" fontId="31" fillId="3" borderId="0" xfId="0" applyFont="1" applyFill="1" applyAlignment="1">
      <alignment horizontal="center" wrapText="1"/>
    </xf>
    <xf numFmtId="0" fontId="31" fillId="0" borderId="6" xfId="1" applyFont="1" applyBorder="1" applyAlignment="1">
      <alignment horizontal="center" vertical="center"/>
    </xf>
    <xf numFmtId="0" fontId="13" fillId="3" borderId="4" xfId="0" applyFont="1" applyFill="1" applyBorder="1" applyAlignment="1">
      <alignment horizontal="left" wrapText="1"/>
    </xf>
    <xf numFmtId="0" fontId="14" fillId="3" borderId="0" xfId="0" applyFont="1" applyFill="1" applyAlignment="1">
      <alignment vertical="center" wrapText="1"/>
    </xf>
    <xf numFmtId="0" fontId="35" fillId="0" borderId="0" xfId="3" applyFont="1" applyAlignment="1">
      <alignment horizontal="left" wrapText="1"/>
    </xf>
    <xf numFmtId="0" fontId="14" fillId="0" borderId="0" xfId="0" applyFont="1" applyAlignment="1">
      <alignment horizontal="left" wrapText="1"/>
    </xf>
    <xf numFmtId="0" fontId="13" fillId="0" borderId="0" xfId="0" applyFont="1" applyAlignment="1">
      <alignment horizontal="center" wrapText="1"/>
    </xf>
    <xf numFmtId="0" fontId="13" fillId="0" borderId="5" xfId="0" applyFont="1" applyBorder="1" applyAlignment="1">
      <alignment horizontal="center" wrapText="1"/>
    </xf>
    <xf numFmtId="0" fontId="35" fillId="0" borderId="4" xfId="3" applyFont="1" applyBorder="1" applyAlignment="1">
      <alignment horizontal="left" wrapText="1"/>
    </xf>
    <xf numFmtId="0" fontId="3" fillId="0" borderId="0" xfId="1" applyFont="1" applyAlignment="1">
      <alignment vertical="top" wrapText="1"/>
    </xf>
    <xf numFmtId="0" fontId="14" fillId="0" borderId="0" xfId="1" applyFont="1" applyAlignment="1">
      <alignment horizontal="left" wrapText="1"/>
    </xf>
    <xf numFmtId="0" fontId="38" fillId="0" borderId="0" xfId="1" applyFont="1" applyAlignment="1">
      <alignment horizontal="center" vertical="top" wrapText="1"/>
    </xf>
    <xf numFmtId="0" fontId="37" fillId="0" borderId="15" xfId="1" applyFont="1" applyBorder="1" applyAlignment="1">
      <alignment horizontal="center" vertical="center" wrapText="1"/>
    </xf>
    <xf numFmtId="0" fontId="37" fillId="0" borderId="2" xfId="1" applyFont="1" applyBorder="1" applyAlignment="1">
      <alignment horizontal="center" vertical="center" wrapText="1"/>
    </xf>
    <xf numFmtId="0" fontId="27" fillId="0" borderId="0" xfId="1" applyFont="1" applyAlignment="1">
      <alignment horizontal="left" vertical="top" wrapText="1"/>
    </xf>
    <xf numFmtId="0" fontId="13" fillId="3" borderId="0" xfId="0" applyFont="1" applyFill="1" applyAlignment="1">
      <alignment horizontal="center" wrapText="1"/>
    </xf>
    <xf numFmtId="0" fontId="31" fillId="3" borderId="10" xfId="0" applyFont="1" applyFill="1" applyBorder="1" applyAlignment="1">
      <alignment horizontal="center" vertical="center" wrapText="1"/>
    </xf>
    <xf numFmtId="0" fontId="14" fillId="3" borderId="0" xfId="0" applyFont="1" applyFill="1" applyAlignment="1">
      <alignment horizontal="left" vertical="center" wrapText="1"/>
    </xf>
    <xf numFmtId="0" fontId="31" fillId="3" borderId="3"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14" fillId="0" borderId="4" xfId="0" applyFont="1" applyBorder="1" applyAlignment="1">
      <alignment horizontal="left" vertical="top"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27" fillId="0" borderId="0" xfId="0" applyFont="1" applyAlignment="1">
      <alignment horizontal="left" wrapText="1"/>
    </xf>
    <xf numFmtId="0" fontId="25" fillId="0" borderId="16" xfId="0" applyFont="1" applyBorder="1" applyAlignment="1">
      <alignment horizontal="center" vertical="center"/>
    </xf>
    <xf numFmtId="0" fontId="25" fillId="0" borderId="20" xfId="0" applyFont="1" applyBorder="1" applyAlignment="1">
      <alignment horizontal="center" vertical="center"/>
    </xf>
    <xf numFmtId="0" fontId="25" fillId="0" borderId="17" xfId="0" applyFont="1" applyBorder="1" applyAlignment="1">
      <alignment horizontal="center" vertical="center"/>
    </xf>
    <xf numFmtId="0" fontId="25" fillId="0" borderId="21"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2" fillId="0" borderId="0" xfId="0" quotePrefix="1" applyFont="1" applyAlignment="1">
      <alignment horizontal="left" vertical="top" wrapText="1" indent="2"/>
    </xf>
    <xf numFmtId="0" fontId="22" fillId="0" borderId="0" xfId="0" applyFont="1" applyAlignment="1">
      <alignment horizontal="left" vertical="top" wrapText="1" indent="2"/>
    </xf>
    <xf numFmtId="0" fontId="20" fillId="0" borderId="0" xfId="0" applyFont="1" applyAlignment="1">
      <alignment horizontal="left" vertical="top" wrapText="1"/>
    </xf>
    <xf numFmtId="0" fontId="31" fillId="0" borderId="28" xfId="1" applyFont="1" applyBorder="1" applyAlignment="1">
      <alignment horizontal="center" vertical="center" wrapText="1"/>
    </xf>
    <xf numFmtId="0" fontId="31" fillId="0" borderId="24" xfId="1" applyFont="1" applyBorder="1" applyAlignment="1">
      <alignment horizontal="center" vertical="center" wrapText="1"/>
    </xf>
    <xf numFmtId="0" fontId="31" fillId="0" borderId="5" xfId="1" applyFont="1" applyBorder="1" applyAlignment="1">
      <alignment horizontal="center" vertical="center"/>
    </xf>
    <xf numFmtId="0" fontId="27" fillId="0" borderId="0" xfId="0" applyFont="1" applyAlignment="1">
      <alignment horizontal="left" vertical="top" wrapText="1"/>
    </xf>
    <xf numFmtId="0" fontId="13" fillId="0" borderId="0" xfId="1" applyFont="1" applyAlignment="1">
      <alignment horizontal="center" vertical="center" wrapText="1"/>
    </xf>
    <xf numFmtId="0" fontId="13" fillId="0" borderId="5" xfId="1" applyFont="1" applyBorder="1" applyAlignment="1">
      <alignment horizontal="center" vertical="center" wrapText="1"/>
    </xf>
    <xf numFmtId="0" fontId="31" fillId="0" borderId="4" xfId="1" applyFont="1" applyBorder="1" applyAlignment="1">
      <alignment horizontal="center" vertical="center" wrapText="1"/>
    </xf>
    <xf numFmtId="0" fontId="31" fillId="0" borderId="0" xfId="1" applyFont="1" applyAlignment="1">
      <alignment horizontal="center" vertical="center" wrapText="1"/>
    </xf>
    <xf numFmtId="0" fontId="31" fillId="0" borderId="5" xfId="1" applyFont="1" applyBorder="1" applyAlignment="1">
      <alignment horizontal="center" vertical="center" wrapText="1"/>
    </xf>
    <xf numFmtId="0" fontId="31" fillId="0" borderId="15" xfId="1" applyFont="1" applyBorder="1" applyAlignment="1">
      <alignment horizontal="center" vertical="center" wrapText="1"/>
    </xf>
    <xf numFmtId="0" fontId="31" fillId="0" borderId="2" xfId="1" applyFont="1" applyBorder="1" applyAlignment="1">
      <alignment horizontal="center" vertical="center" wrapText="1"/>
    </xf>
    <xf numFmtId="0" fontId="31" fillId="0" borderId="25" xfId="1" applyFont="1" applyBorder="1" applyAlignment="1">
      <alignment horizontal="center" vertical="center" wrapText="1"/>
    </xf>
    <xf numFmtId="0" fontId="31" fillId="0" borderId="26" xfId="1" applyFont="1" applyBorder="1" applyAlignment="1">
      <alignment horizontal="center" vertical="center" wrapText="1"/>
    </xf>
    <xf numFmtId="0" fontId="31" fillId="0" borderId="27" xfId="1" applyFont="1" applyBorder="1" applyAlignment="1">
      <alignment horizontal="center" vertical="center" wrapText="1"/>
    </xf>
    <xf numFmtId="0" fontId="31" fillId="0" borderId="29" xfId="1" applyFont="1" applyBorder="1" applyAlignment="1">
      <alignment horizontal="center" vertical="center" wrapText="1"/>
    </xf>
    <xf numFmtId="0" fontId="31" fillId="0" borderId="15" xfId="1" applyFont="1" applyBorder="1" applyAlignment="1">
      <alignment horizontal="center" vertical="center"/>
    </xf>
    <xf numFmtId="0" fontId="31" fillId="0" borderId="0" xfId="1" applyFont="1" applyAlignment="1">
      <alignment horizontal="center" vertical="center"/>
    </xf>
    <xf numFmtId="0" fontId="22" fillId="0" borderId="4" xfId="0" applyFont="1" applyBorder="1" applyAlignment="1">
      <alignment horizontal="left" vertical="top" wrapText="1"/>
    </xf>
    <xf numFmtId="0" fontId="27" fillId="0" borderId="0" xfId="0" applyFont="1" applyAlignment="1">
      <alignment horizontal="left" vertical="top" wrapText="1" indent="2"/>
    </xf>
    <xf numFmtId="0" fontId="13" fillId="0" borderId="5" xfId="1" applyFont="1" applyBorder="1" applyAlignment="1">
      <alignment horizontal="center" vertical="top" wrapText="1"/>
    </xf>
    <xf numFmtId="0" fontId="31" fillId="0" borderId="30" xfId="1" applyFont="1" applyBorder="1" applyAlignment="1">
      <alignment horizontal="center" vertical="center" wrapText="1"/>
    </xf>
    <xf numFmtId="0" fontId="2" fillId="0" borderId="0" xfId="1" applyFont="1" applyAlignment="1">
      <alignment horizontal="center" vertical="top" wrapText="1"/>
    </xf>
    <xf numFmtId="0" fontId="2" fillId="0" borderId="5" xfId="1" applyFont="1" applyBorder="1" applyAlignment="1">
      <alignment horizontal="center" vertical="top" wrapText="1"/>
    </xf>
    <xf numFmtId="0" fontId="3" fillId="0" borderId="8" xfId="1" applyFont="1" applyBorder="1" applyAlignment="1">
      <alignment horizontal="center" vertical="center" wrapText="1"/>
    </xf>
    <xf numFmtId="0" fontId="3" fillId="0" borderId="29" xfId="1" applyFont="1" applyBorder="1" applyAlignment="1">
      <alignment horizontal="center" vertical="center" wrapText="1"/>
    </xf>
    <xf numFmtId="0" fontId="3" fillId="0" borderId="9" xfId="1" applyFont="1" applyBorder="1" applyAlignment="1">
      <alignment horizontal="center" vertical="center" wrapText="1"/>
    </xf>
    <xf numFmtId="0" fontId="7" fillId="0" borderId="15" xfId="1" applyFont="1" applyBorder="1" applyAlignment="1">
      <alignment horizontal="center" vertical="center" wrapText="1"/>
    </xf>
    <xf numFmtId="0" fontId="3" fillId="0" borderId="3" xfId="1" applyFont="1" applyBorder="1" applyAlignment="1">
      <alignment horizontal="center" vertical="center"/>
    </xf>
    <xf numFmtId="0" fontId="3" fillId="0" borderId="15" xfId="1" applyFont="1" applyBorder="1" applyAlignment="1">
      <alignment horizontal="center" vertical="center"/>
    </xf>
    <xf numFmtId="0" fontId="3" fillId="0" borderId="1" xfId="1" applyFont="1" applyBorder="1" applyAlignment="1">
      <alignment horizontal="center" vertical="center"/>
    </xf>
    <xf numFmtId="0" fontId="3" fillId="0" borderId="15" xfId="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28" xfId="1" applyFont="1" applyBorder="1" applyAlignment="1">
      <alignment horizontal="center" vertical="center" wrapText="1"/>
    </xf>
    <xf numFmtId="0" fontId="3" fillId="0" borderId="30" xfId="1" applyFont="1" applyBorder="1" applyAlignment="1">
      <alignment horizontal="center" vertical="center" wrapText="1"/>
    </xf>
    <xf numFmtId="0" fontId="11" fillId="0" borderId="0" xfId="0" applyFont="1" applyAlignment="1">
      <alignment horizontal="left" vertical="top" wrapText="1" indent="2"/>
    </xf>
    <xf numFmtId="0" fontId="3" fillId="0" borderId="0" xfId="0" applyFont="1" applyAlignment="1">
      <alignment horizontal="left" vertical="top" wrapText="1"/>
    </xf>
    <xf numFmtId="0" fontId="3" fillId="0" borderId="5" xfId="1" applyFont="1" applyBorder="1" applyAlignment="1">
      <alignment horizontal="center" vertical="center"/>
    </xf>
    <xf numFmtId="0" fontId="11" fillId="0" borderId="4" xfId="0" applyFont="1" applyBorder="1" applyAlignment="1">
      <alignment horizontal="left" vertical="top" wrapText="1"/>
    </xf>
    <xf numFmtId="0" fontId="11" fillId="0" borderId="0" xfId="0" applyFont="1" applyAlignment="1">
      <alignment horizontal="left" vertical="top" wrapText="1"/>
    </xf>
    <xf numFmtId="0" fontId="31" fillId="0" borderId="31" xfId="1" applyFont="1" applyBorder="1" applyAlignment="1">
      <alignment horizontal="center" vertical="center" wrapText="1"/>
    </xf>
    <xf numFmtId="0" fontId="31" fillId="0" borderId="13" xfId="1" applyFont="1" applyBorder="1" applyAlignment="1">
      <alignment horizontal="center" vertical="center"/>
    </xf>
    <xf numFmtId="0" fontId="31" fillId="0" borderId="32" xfId="1" applyFont="1" applyBorder="1" applyAlignment="1">
      <alignment horizontal="center" vertical="center"/>
    </xf>
    <xf numFmtId="0" fontId="27" fillId="0" borderId="4" xfId="0" applyFont="1" applyBorder="1" applyAlignment="1">
      <alignment horizontal="left" vertical="top" wrapText="1"/>
    </xf>
    <xf numFmtId="0" fontId="27" fillId="0" borderId="4" xfId="0" applyFont="1" applyBorder="1" applyAlignment="1">
      <alignment horizontal="left" vertical="center" wrapText="1"/>
    </xf>
    <xf numFmtId="0" fontId="31" fillId="0" borderId="35" xfId="1" applyFont="1" applyBorder="1" applyAlignment="1">
      <alignment horizontal="center" vertical="center"/>
    </xf>
    <xf numFmtId="0" fontId="31" fillId="0" borderId="34" xfId="1" applyFont="1" applyBorder="1" applyAlignment="1">
      <alignment horizontal="center" vertical="center"/>
    </xf>
    <xf numFmtId="0" fontId="31" fillId="0" borderId="33" xfId="1" applyFont="1" applyBorder="1" applyAlignment="1">
      <alignment horizontal="center" vertical="center"/>
    </xf>
    <xf numFmtId="0" fontId="20" fillId="0" borderId="0" xfId="1" applyFont="1" applyAlignment="1">
      <alignment horizontal="center" vertical="center" wrapText="1"/>
    </xf>
    <xf numFmtId="0" fontId="27" fillId="0" borderId="0" xfId="0" applyFont="1" applyAlignment="1">
      <alignment horizontal="left" vertical="center" wrapText="1"/>
    </xf>
    <xf numFmtId="0" fontId="27" fillId="0" borderId="0" xfId="0" applyFont="1" applyAlignment="1">
      <alignment vertical="center" wrapText="1"/>
    </xf>
    <xf numFmtId="0" fontId="31" fillId="0" borderId="36" xfId="1" applyFont="1" applyBorder="1" applyAlignment="1">
      <alignment horizontal="center" vertical="center" wrapText="1"/>
    </xf>
    <xf numFmtId="0" fontId="20" fillId="0" borderId="0" xfId="0" applyFont="1" applyAlignment="1">
      <alignment horizontal="left" vertical="top" wrapText="1" indent="2"/>
    </xf>
    <xf numFmtId="0" fontId="22" fillId="0" borderId="0" xfId="0" applyFont="1" applyAlignment="1">
      <alignment horizontal="left" vertical="top" wrapText="1"/>
    </xf>
    <xf numFmtId="0" fontId="41" fillId="0" borderId="0" xfId="0" applyFont="1" applyAlignment="1">
      <alignment horizontal="left" vertical="top" wrapText="1"/>
    </xf>
    <xf numFmtId="0" fontId="14" fillId="0" borderId="4" xfId="0" applyFont="1" applyBorder="1" applyAlignment="1">
      <alignment horizontal="left" vertical="center" wrapText="1"/>
    </xf>
    <xf numFmtId="0" fontId="41" fillId="0" borderId="0" xfId="0" applyFont="1" applyAlignment="1">
      <alignment horizontal="left" wrapText="1"/>
    </xf>
    <xf numFmtId="0" fontId="13" fillId="0" borderId="0" xfId="0" applyFont="1" applyAlignment="1">
      <alignment horizontal="center" vertical="center" wrapText="1"/>
    </xf>
    <xf numFmtId="0" fontId="42" fillId="0" borderId="0" xfId="0" applyFont="1" applyAlignment="1">
      <alignment horizontal="left" vertical="top" wrapText="1"/>
    </xf>
    <xf numFmtId="0" fontId="25" fillId="0" borderId="5" xfId="0" applyFont="1" applyBorder="1" applyAlignment="1">
      <alignment horizontal="center"/>
    </xf>
    <xf numFmtId="0" fontId="25" fillId="0" borderId="3" xfId="0" applyFont="1" applyBorder="1" applyAlignment="1">
      <alignment horizontal="center" vertical="center" wrapText="1"/>
    </xf>
    <xf numFmtId="0" fontId="25" fillId="0" borderId="15" xfId="0" applyFont="1" applyBorder="1" applyAlignment="1">
      <alignment horizontal="center" vertical="center"/>
    </xf>
    <xf numFmtId="0" fontId="33" fillId="0" borderId="0" xfId="0" applyFont="1" applyAlignment="1">
      <alignment horizontal="left" vertical="center" wrapText="1"/>
    </xf>
    <xf numFmtId="0" fontId="32" fillId="0" borderId="0" xfId="0" applyFont="1" applyAlignment="1">
      <alignment horizontal="left" vertical="top" wrapText="1"/>
    </xf>
    <xf numFmtId="0" fontId="31" fillId="0" borderId="36" xfId="1" applyFont="1" applyBorder="1" applyAlignment="1">
      <alignment horizontal="center" vertical="center"/>
    </xf>
    <xf numFmtId="0" fontId="31" fillId="0" borderId="7" xfId="1" applyFont="1" applyBorder="1" applyAlignment="1">
      <alignment horizontal="center" vertical="center"/>
    </xf>
    <xf numFmtId="0" fontId="13" fillId="0" borderId="0" xfId="1" applyFont="1" applyAlignment="1">
      <alignment horizontal="center" vertical="center"/>
    </xf>
    <xf numFmtId="0" fontId="27" fillId="0" borderId="0" xfId="0" applyFont="1" applyAlignment="1">
      <alignment horizontal="left"/>
    </xf>
    <xf numFmtId="0" fontId="30" fillId="0" borderId="0" xfId="0" applyFont="1" applyAlignment="1">
      <alignment horizontal="center"/>
    </xf>
    <xf numFmtId="0" fontId="25" fillId="0" borderId="15" xfId="0" applyFont="1" applyBorder="1" applyAlignment="1">
      <alignment horizontal="center" vertical="center" wrapText="1"/>
    </xf>
    <xf numFmtId="0" fontId="31" fillId="0" borderId="0" xfId="1" applyFont="1" applyBorder="1" applyAlignment="1">
      <alignment horizontal="center" vertical="center" wrapText="1"/>
    </xf>
    <xf numFmtId="0" fontId="31" fillId="0" borderId="0" xfId="1" applyFont="1" applyBorder="1" applyAlignment="1">
      <alignment horizontal="center" vertical="center" wrapText="1"/>
    </xf>
    <xf numFmtId="0" fontId="25" fillId="0" borderId="0" xfId="0" applyFont="1" applyBorder="1"/>
  </cellXfs>
  <cellStyles count="7">
    <cellStyle name="Normal" xfId="0" builtinId="0"/>
    <cellStyle name="Normal 2" xfId="1" xr:uid="{5DE6681B-9CA7-4B2D-A4C9-A8FB4C783B3A}"/>
    <cellStyle name="Normal 2 3" xfId="6" xr:uid="{A4D09C9C-7EEC-4C44-AD65-534819A38D3C}"/>
    <cellStyle name="Normal 3" xfId="3" xr:uid="{4245CFA4-06A9-4827-AD17-1BE3D9A6B687}"/>
    <cellStyle name="Porcentagem" xfId="5" builtinId="5"/>
    <cellStyle name="Vírgula" xfId="2" builtinId="3"/>
    <cellStyle name="Vírgula 2" xfId="4" xr:uid="{F90C19D3-8650-4AD9-A1A6-C1D37AF976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14</xdr:col>
      <xdr:colOff>266700</xdr:colOff>
      <xdr:row>4</xdr:row>
      <xdr:rowOff>352425</xdr:rowOff>
    </xdr:to>
    <xdr:pic>
      <xdr:nvPicPr>
        <xdr:cNvPr id="2" name="Imagem 1">
          <a:extLst>
            <a:ext uri="{FF2B5EF4-FFF2-40B4-BE49-F238E27FC236}">
              <a16:creationId xmlns:a16="http://schemas.microsoft.com/office/drawing/2014/main" id="{57D129A9-FB96-4CE6-A9D7-521B3F4A8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3350" y="561975"/>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10</xdr:col>
      <xdr:colOff>38100</xdr:colOff>
      <xdr:row>4</xdr:row>
      <xdr:rowOff>361950</xdr:rowOff>
    </xdr:to>
    <xdr:pic>
      <xdr:nvPicPr>
        <xdr:cNvPr id="2" name="Imagem 1">
          <a:extLst>
            <a:ext uri="{FF2B5EF4-FFF2-40B4-BE49-F238E27FC236}">
              <a16:creationId xmlns:a16="http://schemas.microsoft.com/office/drawing/2014/main" id="{25F56846-F553-4157-BD66-9A01A98D6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81675" y="361950"/>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10</xdr:col>
      <xdr:colOff>266700</xdr:colOff>
      <xdr:row>4</xdr:row>
      <xdr:rowOff>276225</xdr:rowOff>
    </xdr:to>
    <xdr:pic>
      <xdr:nvPicPr>
        <xdr:cNvPr id="2" name="Imagem 1">
          <a:extLst>
            <a:ext uri="{FF2B5EF4-FFF2-40B4-BE49-F238E27FC236}">
              <a16:creationId xmlns:a16="http://schemas.microsoft.com/office/drawing/2014/main" id="{8259AD26-FF04-4856-877F-532498A1B6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61950"/>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28575</xdr:colOff>
      <xdr:row>2</xdr:row>
      <xdr:rowOff>28575</xdr:rowOff>
    </xdr:from>
    <xdr:to>
      <xdr:col>11</xdr:col>
      <xdr:colOff>295275</xdr:colOff>
      <xdr:row>5</xdr:row>
      <xdr:rowOff>152400</xdr:rowOff>
    </xdr:to>
    <xdr:pic>
      <xdr:nvPicPr>
        <xdr:cNvPr id="2" name="Imagem 1">
          <a:extLst>
            <a:ext uri="{FF2B5EF4-FFF2-40B4-BE49-F238E27FC236}">
              <a16:creationId xmlns:a16="http://schemas.microsoft.com/office/drawing/2014/main" id="{26964506-950E-4DA9-A94F-8E35E3E659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2700" y="381000"/>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11</xdr:col>
      <xdr:colOff>266700</xdr:colOff>
      <xdr:row>4</xdr:row>
      <xdr:rowOff>161925</xdr:rowOff>
    </xdr:to>
    <xdr:pic>
      <xdr:nvPicPr>
        <xdr:cNvPr id="2" name="Imagem 1">
          <a:extLst>
            <a:ext uri="{FF2B5EF4-FFF2-40B4-BE49-F238E27FC236}">
              <a16:creationId xmlns:a16="http://schemas.microsoft.com/office/drawing/2014/main" id="{2C2E2543-8AA5-4FC5-9EFA-A282476661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3100" y="190500"/>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14</xdr:col>
      <xdr:colOff>0</xdr:colOff>
      <xdr:row>1</xdr:row>
      <xdr:rowOff>0</xdr:rowOff>
    </xdr:from>
    <xdr:to>
      <xdr:col>18</xdr:col>
      <xdr:colOff>266700</xdr:colOff>
      <xdr:row>4</xdr:row>
      <xdr:rowOff>352425</xdr:rowOff>
    </xdr:to>
    <xdr:pic>
      <xdr:nvPicPr>
        <xdr:cNvPr id="2" name="Imagem 1">
          <a:extLst>
            <a:ext uri="{FF2B5EF4-FFF2-40B4-BE49-F238E27FC236}">
              <a16:creationId xmlns:a16="http://schemas.microsoft.com/office/drawing/2014/main" id="{7724D1ED-A8AF-4606-8489-29E29D5D46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72550" y="381000"/>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13</xdr:col>
      <xdr:colOff>266700</xdr:colOff>
      <xdr:row>3</xdr:row>
      <xdr:rowOff>0</xdr:rowOff>
    </xdr:to>
    <xdr:pic>
      <xdr:nvPicPr>
        <xdr:cNvPr id="2" name="Imagem 1">
          <a:extLst>
            <a:ext uri="{FF2B5EF4-FFF2-40B4-BE49-F238E27FC236}">
              <a16:creationId xmlns:a16="http://schemas.microsoft.com/office/drawing/2014/main" id="{322B589D-FDC0-4485-A751-58720573D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3350" y="390525"/>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0</xdr:colOff>
      <xdr:row>4</xdr:row>
      <xdr:rowOff>0</xdr:rowOff>
    </xdr:from>
    <xdr:to>
      <xdr:col>10</xdr:col>
      <xdr:colOff>266700</xdr:colOff>
      <xdr:row>6</xdr:row>
      <xdr:rowOff>581025</xdr:rowOff>
    </xdr:to>
    <xdr:pic>
      <xdr:nvPicPr>
        <xdr:cNvPr id="2" name="Imagem 1">
          <a:extLst>
            <a:ext uri="{FF2B5EF4-FFF2-40B4-BE49-F238E27FC236}">
              <a16:creationId xmlns:a16="http://schemas.microsoft.com/office/drawing/2014/main" id="{DEF913BD-5FCE-4FFE-974A-DF7F95AE0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34075" y="790575"/>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9</xdr:col>
      <xdr:colOff>876300</xdr:colOff>
      <xdr:row>4</xdr:row>
      <xdr:rowOff>409575</xdr:rowOff>
    </xdr:to>
    <xdr:pic>
      <xdr:nvPicPr>
        <xdr:cNvPr id="2" name="Imagem 1">
          <a:extLst>
            <a:ext uri="{FF2B5EF4-FFF2-40B4-BE49-F238E27FC236}">
              <a16:creationId xmlns:a16="http://schemas.microsoft.com/office/drawing/2014/main" id="{7884C1F7-383A-46EB-B454-072B5DF381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533400"/>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16</xdr:col>
      <xdr:colOff>876300</xdr:colOff>
      <xdr:row>4</xdr:row>
      <xdr:rowOff>295275</xdr:rowOff>
    </xdr:from>
    <xdr:to>
      <xdr:col>20</xdr:col>
      <xdr:colOff>533400</xdr:colOff>
      <xdr:row>8</xdr:row>
      <xdr:rowOff>9525</xdr:rowOff>
    </xdr:to>
    <xdr:pic>
      <xdr:nvPicPr>
        <xdr:cNvPr id="2" name="Imagem 1">
          <a:extLst>
            <a:ext uri="{FF2B5EF4-FFF2-40B4-BE49-F238E27FC236}">
              <a16:creationId xmlns:a16="http://schemas.microsoft.com/office/drawing/2014/main" id="{26E7D12C-EFF1-4374-B809-291B8567F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4350" y="1066800"/>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10</xdr:col>
      <xdr:colOff>266700</xdr:colOff>
      <xdr:row>4</xdr:row>
      <xdr:rowOff>352425</xdr:rowOff>
    </xdr:to>
    <xdr:pic>
      <xdr:nvPicPr>
        <xdr:cNvPr id="2" name="Imagem 1">
          <a:extLst>
            <a:ext uri="{FF2B5EF4-FFF2-40B4-BE49-F238E27FC236}">
              <a16:creationId xmlns:a16="http://schemas.microsoft.com/office/drawing/2014/main" id="{DD632E0A-3EA0-4C60-A7D9-73425D92A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0375" y="152400"/>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533400</xdr:colOff>
      <xdr:row>1</xdr:row>
      <xdr:rowOff>457200</xdr:rowOff>
    </xdr:from>
    <xdr:to>
      <xdr:col>19</xdr:col>
      <xdr:colOff>190500</xdr:colOff>
      <xdr:row>4</xdr:row>
      <xdr:rowOff>314325</xdr:rowOff>
    </xdr:to>
    <xdr:pic>
      <xdr:nvPicPr>
        <xdr:cNvPr id="2" name="Imagem 1">
          <a:extLst>
            <a:ext uri="{FF2B5EF4-FFF2-40B4-BE49-F238E27FC236}">
              <a16:creationId xmlns:a16="http://schemas.microsoft.com/office/drawing/2014/main" id="{5D8E2494-B68D-4EA6-ABB7-4E857D0A4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91350" y="571500"/>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0</xdr:colOff>
      <xdr:row>3</xdr:row>
      <xdr:rowOff>0</xdr:rowOff>
    </xdr:from>
    <xdr:to>
      <xdr:col>13</xdr:col>
      <xdr:colOff>266700</xdr:colOff>
      <xdr:row>7</xdr:row>
      <xdr:rowOff>28575</xdr:rowOff>
    </xdr:to>
    <xdr:pic>
      <xdr:nvPicPr>
        <xdr:cNvPr id="2" name="Imagem 1">
          <a:extLst>
            <a:ext uri="{FF2B5EF4-FFF2-40B4-BE49-F238E27FC236}">
              <a16:creationId xmlns:a16="http://schemas.microsoft.com/office/drawing/2014/main" id="{25F7C993-1615-46DF-820B-8388A5539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50" y="457200"/>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11</xdr:col>
      <xdr:colOff>0</xdr:colOff>
      <xdr:row>3</xdr:row>
      <xdr:rowOff>0</xdr:rowOff>
    </xdr:from>
    <xdr:to>
      <xdr:col>15</xdr:col>
      <xdr:colOff>266700</xdr:colOff>
      <xdr:row>5</xdr:row>
      <xdr:rowOff>295275</xdr:rowOff>
    </xdr:to>
    <xdr:pic>
      <xdr:nvPicPr>
        <xdr:cNvPr id="2" name="Imagem 1">
          <a:extLst>
            <a:ext uri="{FF2B5EF4-FFF2-40B4-BE49-F238E27FC236}">
              <a16:creationId xmlns:a16="http://schemas.microsoft.com/office/drawing/2014/main" id="{9076E6F5-376B-4B6D-87AF-EC8C3509E6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58075" y="581025"/>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15</xdr:col>
      <xdr:colOff>0</xdr:colOff>
      <xdr:row>3</xdr:row>
      <xdr:rowOff>0</xdr:rowOff>
    </xdr:from>
    <xdr:to>
      <xdr:col>19</xdr:col>
      <xdr:colOff>266700</xdr:colOff>
      <xdr:row>5</xdr:row>
      <xdr:rowOff>485775</xdr:rowOff>
    </xdr:to>
    <xdr:pic>
      <xdr:nvPicPr>
        <xdr:cNvPr id="2" name="Imagem 1">
          <a:extLst>
            <a:ext uri="{FF2B5EF4-FFF2-40B4-BE49-F238E27FC236}">
              <a16:creationId xmlns:a16="http://schemas.microsoft.com/office/drawing/2014/main" id="{3A6B7B8B-50DC-48F3-9498-E3C39A9E3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6775" y="657225"/>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0</xdr:colOff>
      <xdr:row>5</xdr:row>
      <xdr:rowOff>0</xdr:rowOff>
    </xdr:from>
    <xdr:to>
      <xdr:col>25</xdr:col>
      <xdr:colOff>266700</xdr:colOff>
      <xdr:row>8</xdr:row>
      <xdr:rowOff>0</xdr:rowOff>
    </xdr:to>
    <xdr:pic>
      <xdr:nvPicPr>
        <xdr:cNvPr id="2" name="Imagem 1">
          <a:extLst>
            <a:ext uri="{FF2B5EF4-FFF2-40B4-BE49-F238E27FC236}">
              <a16:creationId xmlns:a16="http://schemas.microsoft.com/office/drawing/2014/main" id="{8E9B141B-2A66-40E3-A721-8F49F80957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49175" y="828675"/>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0</xdr:colOff>
      <xdr:row>5</xdr:row>
      <xdr:rowOff>0</xdr:rowOff>
    </xdr:from>
    <xdr:to>
      <xdr:col>10</xdr:col>
      <xdr:colOff>266700</xdr:colOff>
      <xdr:row>10</xdr:row>
      <xdr:rowOff>28575</xdr:rowOff>
    </xdr:to>
    <xdr:pic>
      <xdr:nvPicPr>
        <xdr:cNvPr id="2" name="Imagem 1">
          <a:extLst>
            <a:ext uri="{FF2B5EF4-FFF2-40B4-BE49-F238E27FC236}">
              <a16:creationId xmlns:a16="http://schemas.microsoft.com/office/drawing/2014/main" id="{6FE9CD78-97A8-4A6D-95C2-72C1C1347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942975"/>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0</xdr:colOff>
      <xdr:row>3</xdr:row>
      <xdr:rowOff>0</xdr:rowOff>
    </xdr:from>
    <xdr:to>
      <xdr:col>13</xdr:col>
      <xdr:colOff>266700</xdr:colOff>
      <xdr:row>5</xdr:row>
      <xdr:rowOff>0</xdr:rowOff>
    </xdr:to>
    <xdr:pic>
      <xdr:nvPicPr>
        <xdr:cNvPr id="2" name="Imagem 1">
          <a:extLst>
            <a:ext uri="{FF2B5EF4-FFF2-40B4-BE49-F238E27FC236}">
              <a16:creationId xmlns:a16="http://schemas.microsoft.com/office/drawing/2014/main" id="{5C89A3FB-4B9C-4B7B-8A81-635D8BE608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0" y="571500"/>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12</xdr:col>
      <xdr:colOff>266700</xdr:colOff>
      <xdr:row>7</xdr:row>
      <xdr:rowOff>9525</xdr:rowOff>
    </xdr:to>
    <xdr:pic>
      <xdr:nvPicPr>
        <xdr:cNvPr id="2" name="Imagem 1">
          <a:extLst>
            <a:ext uri="{FF2B5EF4-FFF2-40B4-BE49-F238E27FC236}">
              <a16:creationId xmlns:a16="http://schemas.microsoft.com/office/drawing/2014/main" id="{C580FFAC-A44D-4175-A3E3-6C894AD34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05475" y="419100"/>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2</xdr:row>
      <xdr:rowOff>0</xdr:rowOff>
    </xdr:from>
    <xdr:to>
      <xdr:col>11</xdr:col>
      <xdr:colOff>284629</xdr:colOff>
      <xdr:row>4</xdr:row>
      <xdr:rowOff>140634</xdr:rowOff>
    </xdr:to>
    <xdr:pic>
      <xdr:nvPicPr>
        <xdr:cNvPr id="2" name="Imagem 1">
          <a:extLst>
            <a:ext uri="{FF2B5EF4-FFF2-40B4-BE49-F238E27FC236}">
              <a16:creationId xmlns:a16="http://schemas.microsoft.com/office/drawing/2014/main" id="{5DFB51B3-0ED9-4DB9-9856-EECBE3E29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6941" y="381000"/>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2</xdr:row>
      <xdr:rowOff>0</xdr:rowOff>
    </xdr:from>
    <xdr:to>
      <xdr:col>11</xdr:col>
      <xdr:colOff>333375</xdr:colOff>
      <xdr:row>4</xdr:row>
      <xdr:rowOff>85725</xdr:rowOff>
    </xdr:to>
    <xdr:pic>
      <xdr:nvPicPr>
        <xdr:cNvPr id="2" name="Imagem 1">
          <a:extLst>
            <a:ext uri="{FF2B5EF4-FFF2-40B4-BE49-F238E27FC236}">
              <a16:creationId xmlns:a16="http://schemas.microsoft.com/office/drawing/2014/main" id="{4B11ECD3-EF9D-4B6A-9023-19291D51F7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3100" y="523875"/>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2</xdr:row>
      <xdr:rowOff>0</xdr:rowOff>
    </xdr:from>
    <xdr:to>
      <xdr:col>12</xdr:col>
      <xdr:colOff>266700</xdr:colOff>
      <xdr:row>6</xdr:row>
      <xdr:rowOff>19050</xdr:rowOff>
    </xdr:to>
    <xdr:pic>
      <xdr:nvPicPr>
        <xdr:cNvPr id="2" name="Imagem 1">
          <a:extLst>
            <a:ext uri="{FF2B5EF4-FFF2-40B4-BE49-F238E27FC236}">
              <a16:creationId xmlns:a16="http://schemas.microsoft.com/office/drawing/2014/main" id="{3DBA7DE7-AA8C-4F9A-8602-39BBDCA4BD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495300"/>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11</xdr:col>
      <xdr:colOff>266700</xdr:colOff>
      <xdr:row>4</xdr:row>
      <xdr:rowOff>390525</xdr:rowOff>
    </xdr:to>
    <xdr:pic>
      <xdr:nvPicPr>
        <xdr:cNvPr id="2" name="Imagem 1">
          <a:extLst>
            <a:ext uri="{FF2B5EF4-FFF2-40B4-BE49-F238E27FC236}">
              <a16:creationId xmlns:a16="http://schemas.microsoft.com/office/drawing/2014/main" id="{BA1A7236-3F54-4D75-8CC6-8A697AFAA2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514350"/>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0</xdr:colOff>
      <xdr:row>2</xdr:row>
      <xdr:rowOff>0</xdr:rowOff>
    </xdr:from>
    <xdr:to>
      <xdr:col>16</xdr:col>
      <xdr:colOff>202622</xdr:colOff>
      <xdr:row>6</xdr:row>
      <xdr:rowOff>89189</xdr:rowOff>
    </xdr:to>
    <xdr:pic>
      <xdr:nvPicPr>
        <xdr:cNvPr id="2" name="Imagem 1">
          <a:extLst>
            <a:ext uri="{FF2B5EF4-FFF2-40B4-BE49-F238E27FC236}">
              <a16:creationId xmlns:a16="http://schemas.microsoft.com/office/drawing/2014/main" id="{C89CE990-B884-4125-9D65-5D71D1731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6386" y="372341"/>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0</xdr:colOff>
      <xdr:row>1</xdr:row>
      <xdr:rowOff>0</xdr:rowOff>
    </xdr:from>
    <xdr:to>
      <xdr:col>17</xdr:col>
      <xdr:colOff>266700</xdr:colOff>
      <xdr:row>5</xdr:row>
      <xdr:rowOff>95250</xdr:rowOff>
    </xdr:to>
    <xdr:pic>
      <xdr:nvPicPr>
        <xdr:cNvPr id="2" name="Imagem 1">
          <a:extLst>
            <a:ext uri="{FF2B5EF4-FFF2-40B4-BE49-F238E27FC236}">
              <a16:creationId xmlns:a16="http://schemas.microsoft.com/office/drawing/2014/main" id="{493A7B0E-FC6F-4E16-80FD-478CFFFEC2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62825" y="190500"/>
          <a:ext cx="2705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95AFD-4AAD-46AF-9788-BE0BEA807AC3}">
  <sheetPr>
    <tabColor rgb="FF92D050"/>
  </sheetPr>
  <dimension ref="B1:Q23"/>
  <sheetViews>
    <sheetView showGridLines="0" zoomScale="120" zoomScaleNormal="120" workbookViewId="0"/>
  </sheetViews>
  <sheetFormatPr defaultColWidth="9.140625" defaultRowHeight="15" customHeight="1"/>
  <cols>
    <col min="1" max="1" width="1.7109375" style="75" customWidth="1"/>
    <col min="2" max="2" width="39.5703125" style="75" customWidth="1"/>
    <col min="3" max="3" width="11.28515625" style="75" customWidth="1"/>
    <col min="4" max="4" width="10.28515625" style="75" bestFit="1" customWidth="1"/>
    <col min="5" max="5" width="7.140625" style="75" customWidth="1"/>
    <col min="6" max="6" width="10" style="75" customWidth="1"/>
    <col min="7" max="7" width="6.28515625" style="75" customWidth="1"/>
    <col min="8" max="8" width="11.7109375" style="75" customWidth="1"/>
    <col min="9" max="16384" width="9.140625" style="75"/>
  </cols>
  <sheetData>
    <row r="1" spans="2:15" ht="15" customHeight="1">
      <c r="J1" s="75" t="s">
        <v>566</v>
      </c>
    </row>
    <row r="2" spans="2:15" ht="29.25" customHeight="1">
      <c r="B2" s="364" t="s">
        <v>0</v>
      </c>
      <c r="C2" s="364"/>
      <c r="D2" s="364"/>
      <c r="E2" s="364"/>
      <c r="F2" s="364"/>
      <c r="G2" s="364"/>
      <c r="H2" s="364"/>
      <c r="J2" s="75" t="s">
        <v>566</v>
      </c>
    </row>
    <row r="3" spans="2:15" ht="7.5" customHeight="1">
      <c r="B3" s="59"/>
      <c r="C3" s="59"/>
      <c r="D3" s="59"/>
      <c r="E3" s="59"/>
      <c r="F3" s="59"/>
      <c r="G3" s="59"/>
      <c r="H3" s="59"/>
    </row>
    <row r="4" spans="2:15" ht="27" customHeight="1">
      <c r="B4" s="365" t="s">
        <v>1</v>
      </c>
      <c r="C4" s="367" t="s">
        <v>2</v>
      </c>
      <c r="D4" s="369" t="s">
        <v>115</v>
      </c>
      <c r="E4" s="370"/>
      <c r="F4" s="371" t="s">
        <v>4</v>
      </c>
      <c r="G4" s="372"/>
      <c r="H4" s="362" t="s">
        <v>5</v>
      </c>
      <c r="I4" s="75" t="s">
        <v>612</v>
      </c>
      <c r="M4" s="75" t="s">
        <v>566</v>
      </c>
    </row>
    <row r="5" spans="2:15" ht="32.25" customHeight="1">
      <c r="B5" s="366"/>
      <c r="C5" s="368"/>
      <c r="D5" s="87" t="s">
        <v>6</v>
      </c>
      <c r="E5" s="87" t="s">
        <v>7</v>
      </c>
      <c r="F5" s="87" t="s">
        <v>6</v>
      </c>
      <c r="G5" s="87" t="s">
        <v>7</v>
      </c>
      <c r="H5" s="363"/>
    </row>
    <row r="6" spans="2:15" ht="21.75" customHeight="1">
      <c r="B6" s="118" t="s">
        <v>8</v>
      </c>
      <c r="C6" s="170" t="s">
        <v>9</v>
      </c>
      <c r="D6" s="101">
        <v>13194470</v>
      </c>
      <c r="E6" s="102">
        <v>100</v>
      </c>
      <c r="F6" s="101">
        <v>104862</v>
      </c>
      <c r="G6" s="102">
        <v>100</v>
      </c>
      <c r="H6" s="171">
        <v>21.734431187116655</v>
      </c>
    </row>
    <row r="7" spans="2:15" ht="24" customHeight="1">
      <c r="B7" s="99" t="s">
        <v>10</v>
      </c>
      <c r="C7" s="172" t="s">
        <v>11</v>
      </c>
      <c r="D7" s="101">
        <v>45844</v>
      </c>
      <c r="E7" s="102">
        <v>0.34744859020483582</v>
      </c>
      <c r="F7" s="101">
        <v>352</v>
      </c>
      <c r="G7" s="102">
        <v>0.33567927371211687</v>
      </c>
      <c r="H7" s="173">
        <v>6.8375769940974651</v>
      </c>
    </row>
    <row r="8" spans="2:15" ht="13.5" customHeight="1">
      <c r="B8" s="99" t="s">
        <v>12</v>
      </c>
      <c r="C8" s="172" t="s">
        <v>13</v>
      </c>
      <c r="D8" s="101">
        <v>1423668</v>
      </c>
      <c r="E8" s="102">
        <v>10.78988394380373</v>
      </c>
      <c r="F8" s="101">
        <v>12690</v>
      </c>
      <c r="G8" s="102">
        <v>12.10161927104194</v>
      </c>
      <c r="H8" s="173">
        <v>13.669803404681446</v>
      </c>
    </row>
    <row r="9" spans="2:15" ht="13.5" customHeight="1">
      <c r="B9" s="178" t="s">
        <v>14</v>
      </c>
      <c r="C9" s="174" t="s">
        <v>15</v>
      </c>
      <c r="D9" s="104">
        <v>166</v>
      </c>
      <c r="E9" s="105">
        <v>1.2581028264113678E-3</v>
      </c>
      <c r="F9" s="115" t="s">
        <v>16</v>
      </c>
      <c r="G9" s="115" t="s">
        <v>16</v>
      </c>
      <c r="H9" s="175">
        <v>7.2033291530881019E-2</v>
      </c>
    </row>
    <row r="10" spans="2:15" ht="14.25" customHeight="1">
      <c r="B10" s="178" t="s">
        <v>17</v>
      </c>
      <c r="C10" s="174" t="s">
        <v>18</v>
      </c>
      <c r="D10" s="104">
        <v>1382736</v>
      </c>
      <c r="E10" s="105">
        <v>10.479663070968368</v>
      </c>
      <c r="F10" s="104">
        <v>12235</v>
      </c>
      <c r="G10" s="105">
        <v>11.667715664397017</v>
      </c>
      <c r="H10" s="175">
        <v>14.474591262225841</v>
      </c>
      <c r="O10" s="166"/>
    </row>
    <row r="11" spans="2:15" ht="23.25" customHeight="1">
      <c r="B11" s="178" t="s">
        <v>19</v>
      </c>
      <c r="C11" s="174" t="s">
        <v>20</v>
      </c>
      <c r="D11" s="104">
        <v>40766</v>
      </c>
      <c r="E11" s="105">
        <v>0.30896277000895073</v>
      </c>
      <c r="F11" s="104">
        <v>455</v>
      </c>
      <c r="G11" s="105">
        <v>0.43390360664492378</v>
      </c>
      <c r="H11" s="175">
        <v>8.4218697419730209</v>
      </c>
    </row>
    <row r="12" spans="2:15" ht="14.25" customHeight="1">
      <c r="B12" s="99" t="s">
        <v>21</v>
      </c>
      <c r="C12" s="172" t="s">
        <v>22</v>
      </c>
      <c r="D12" s="101">
        <v>1236999</v>
      </c>
      <c r="E12" s="102">
        <v>9.3751321576387685</v>
      </c>
      <c r="F12" s="101">
        <v>5016</v>
      </c>
      <c r="G12" s="102">
        <v>4.7834296503976654</v>
      </c>
      <c r="H12" s="173">
        <v>32.347496632804415</v>
      </c>
    </row>
    <row r="13" spans="2:15" ht="27" customHeight="1">
      <c r="B13" s="99" t="s">
        <v>23</v>
      </c>
      <c r="C13" s="172" t="s">
        <v>24</v>
      </c>
      <c r="D13" s="101">
        <v>3860859</v>
      </c>
      <c r="E13" s="102">
        <v>29.261190483588955</v>
      </c>
      <c r="F13" s="101">
        <v>50691</v>
      </c>
      <c r="G13" s="102">
        <v>48.340676317445784</v>
      </c>
      <c r="H13" s="173">
        <v>24.918538468311187</v>
      </c>
    </row>
    <row r="14" spans="2:15" ht="13.5" customHeight="1">
      <c r="B14" s="99" t="s">
        <v>25</v>
      </c>
      <c r="C14" s="172" t="s">
        <v>26</v>
      </c>
      <c r="D14" s="101">
        <v>6627100</v>
      </c>
      <c r="E14" s="102">
        <v>50.2263448247637</v>
      </c>
      <c r="F14" s="101">
        <v>36113</v>
      </c>
      <c r="G14" s="102">
        <v>34.438595487402488</v>
      </c>
      <c r="H14" s="173">
        <v>21.868366528442007</v>
      </c>
    </row>
    <row r="15" spans="2:15" ht="13.5" customHeight="1">
      <c r="B15" s="178" t="s">
        <v>27</v>
      </c>
      <c r="C15" s="174" t="s">
        <v>28</v>
      </c>
      <c r="D15" s="104">
        <v>1010012</v>
      </c>
      <c r="E15" s="105">
        <v>7.6548129633096291</v>
      </c>
      <c r="F15" s="104">
        <v>4230</v>
      </c>
      <c r="G15" s="105">
        <v>4.0338730903473135</v>
      </c>
      <c r="H15" s="175">
        <v>27.570793017166253</v>
      </c>
    </row>
    <row r="16" spans="2:15" ht="13.5" customHeight="1">
      <c r="B16" s="178" t="s">
        <v>29</v>
      </c>
      <c r="C16" s="174" t="s">
        <v>30</v>
      </c>
      <c r="D16" s="104">
        <v>1552900</v>
      </c>
      <c r="E16" s="105">
        <v>11.769324573097668</v>
      </c>
      <c r="F16" s="104">
        <v>13330</v>
      </c>
      <c r="G16" s="105">
        <v>12.711945223245792</v>
      </c>
      <c r="H16" s="175">
        <v>43.136887058709931</v>
      </c>
    </row>
    <row r="17" spans="2:17" ht="22.5" customHeight="1">
      <c r="B17" s="178" t="s">
        <v>31</v>
      </c>
      <c r="C17" s="174" t="s">
        <v>32</v>
      </c>
      <c r="D17" s="104">
        <v>1531644</v>
      </c>
      <c r="E17" s="105">
        <v>11.608226779855499</v>
      </c>
      <c r="F17" s="104">
        <v>7710</v>
      </c>
      <c r="G17" s="105">
        <v>7.3525204554557426</v>
      </c>
      <c r="H17" s="175">
        <v>12.799371947601641</v>
      </c>
      <c r="K17" s="286"/>
      <c r="L17" s="286"/>
      <c r="M17" s="287"/>
    </row>
    <row r="18" spans="2:17" ht="39" customHeight="1">
      <c r="B18" s="178" t="s">
        <v>33</v>
      </c>
      <c r="C18" s="174" t="s">
        <v>34</v>
      </c>
      <c r="D18" s="104">
        <v>598993</v>
      </c>
      <c r="E18" s="105">
        <v>4.5397276283170145</v>
      </c>
      <c r="F18" s="104">
        <v>1793</v>
      </c>
      <c r="G18" s="105">
        <v>1.7098663004710954</v>
      </c>
      <c r="H18" s="175">
        <v>7.6008077981015498</v>
      </c>
      <c r="K18" s="286"/>
      <c r="L18" s="286"/>
      <c r="M18" s="287"/>
    </row>
    <row r="19" spans="2:17" ht="13.5" customHeight="1">
      <c r="B19" s="179" t="s">
        <v>35</v>
      </c>
      <c r="C19" s="174" t="s">
        <v>36</v>
      </c>
      <c r="D19" s="162">
        <v>1933551</v>
      </c>
      <c r="E19" s="176">
        <v>14.654252880183897</v>
      </c>
      <c r="F19" s="162">
        <v>9050</v>
      </c>
      <c r="G19" s="176">
        <v>8.6303904178825519</v>
      </c>
      <c r="H19" s="177">
        <v>60.536172464608875</v>
      </c>
      <c r="K19" s="286"/>
      <c r="L19" s="286"/>
      <c r="M19" s="287"/>
    </row>
    <row r="20" spans="2:17" ht="3.75" customHeight="1">
      <c r="B20" s="167"/>
      <c r="C20" s="168"/>
      <c r="D20" s="169"/>
      <c r="E20" s="169"/>
      <c r="F20" s="169"/>
      <c r="G20" s="169"/>
      <c r="H20" s="169"/>
      <c r="K20" s="286"/>
      <c r="L20" s="286"/>
      <c r="M20" s="287"/>
    </row>
    <row r="21" spans="2:17" ht="26.25" customHeight="1">
      <c r="B21" s="360" t="s">
        <v>544</v>
      </c>
      <c r="C21" s="360"/>
      <c r="D21" s="360"/>
      <c r="E21" s="360"/>
      <c r="F21" s="360"/>
      <c r="G21" s="360"/>
      <c r="H21" s="360"/>
      <c r="I21" s="339"/>
      <c r="J21" s="188"/>
      <c r="K21" s="340"/>
      <c r="L21" s="340"/>
      <c r="M21" s="311"/>
      <c r="N21" s="188"/>
      <c r="O21" s="188"/>
      <c r="P21" s="188"/>
      <c r="Q21" s="188"/>
    </row>
    <row r="22" spans="2:17" ht="41.25" customHeight="1">
      <c r="B22" s="361" t="s">
        <v>545</v>
      </c>
      <c r="C22" s="361"/>
      <c r="D22" s="361"/>
      <c r="E22" s="361"/>
      <c r="F22" s="361"/>
      <c r="G22" s="361"/>
      <c r="H22" s="361"/>
      <c r="I22" s="358"/>
      <c r="J22" s="358"/>
      <c r="K22" s="358"/>
      <c r="L22" s="358"/>
      <c r="M22" s="358"/>
      <c r="N22" s="358"/>
      <c r="O22" s="358"/>
      <c r="P22" s="358"/>
      <c r="Q22" s="358"/>
    </row>
    <row r="23" spans="2:17" ht="38.25" customHeight="1">
      <c r="B23" s="359" t="s">
        <v>546</v>
      </c>
      <c r="C23" s="359"/>
      <c r="D23" s="359"/>
      <c r="E23" s="359"/>
      <c r="F23" s="359"/>
      <c r="G23" s="359"/>
      <c r="H23" s="359"/>
      <c r="I23" s="358"/>
      <c r="J23" s="358"/>
      <c r="K23" s="358"/>
      <c r="L23" s="358"/>
      <c r="M23" s="358"/>
      <c r="N23" s="358"/>
      <c r="O23" s="358"/>
      <c r="P23" s="358"/>
      <c r="Q23" s="358"/>
    </row>
  </sheetData>
  <mergeCells count="10">
    <mergeCell ref="B2:H2"/>
    <mergeCell ref="B4:B5"/>
    <mergeCell ref="C4:C5"/>
    <mergeCell ref="D4:E4"/>
    <mergeCell ref="F4:G4"/>
    <mergeCell ref="I22:Q23"/>
    <mergeCell ref="B23:H23"/>
    <mergeCell ref="B21:H21"/>
    <mergeCell ref="B22:H22"/>
    <mergeCell ref="H4:H5"/>
  </mergeCell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8EE8A-08CC-457B-BA80-7322B5DCDEA9}">
  <sheetPr>
    <tabColor rgb="FFFF0000"/>
  </sheetPr>
  <dimension ref="B2:U23"/>
  <sheetViews>
    <sheetView showGridLines="0" zoomScale="120" zoomScaleNormal="120" workbookViewId="0">
      <selection activeCell="P12" sqref="P12"/>
    </sheetView>
  </sheetViews>
  <sheetFormatPr defaultRowHeight="15" customHeight="1"/>
  <cols>
    <col min="1" max="1" width="1.85546875" customWidth="1"/>
    <col min="2" max="2" width="25.7109375" bestFit="1" customWidth="1"/>
    <col min="3" max="3" width="8.42578125" bestFit="1" customWidth="1"/>
    <col min="4" max="4" width="5" customWidth="1"/>
    <col min="5" max="5" width="7.28515625" customWidth="1"/>
    <col min="6" max="6" width="7.7109375" bestFit="1" customWidth="1"/>
    <col min="7" max="7" width="5" customWidth="1"/>
    <col min="8" max="8" width="7.28515625" customWidth="1"/>
    <col min="9" max="9" width="7.7109375" bestFit="1" customWidth="1"/>
    <col min="10" max="10" width="5" customWidth="1"/>
    <col min="11" max="11" width="7.28515625" customWidth="1"/>
    <col min="12" max="12" width="7.7109375" bestFit="1" customWidth="1"/>
    <col min="13" max="13" width="5" customWidth="1"/>
    <col min="14" max="14" width="7.28515625" customWidth="1"/>
    <col min="16" max="16" width="12.140625" customWidth="1"/>
    <col min="17" max="17" width="10.28515625" bestFit="1" customWidth="1"/>
    <col min="18" max="18" width="24.28515625" bestFit="1" customWidth="1"/>
    <col min="19" max="19" width="10.28515625" bestFit="1" customWidth="1"/>
  </cols>
  <sheetData>
    <row r="2" spans="2:21" ht="14.45" customHeight="1">
      <c r="B2" s="442" t="s">
        <v>159</v>
      </c>
      <c r="C2" s="442"/>
      <c r="D2" s="442"/>
      <c r="E2" s="442"/>
      <c r="F2" s="442"/>
      <c r="G2" s="442"/>
      <c r="H2" s="442"/>
      <c r="I2" s="442"/>
      <c r="J2" s="442"/>
      <c r="K2" s="442"/>
      <c r="L2" s="1"/>
      <c r="M2" s="1"/>
      <c r="N2" s="1"/>
    </row>
    <row r="3" spans="2:21" ht="3" customHeight="1">
      <c r="B3" s="443"/>
      <c r="C3" s="443"/>
      <c r="D3" s="443"/>
      <c r="E3" s="443"/>
      <c r="F3" s="443"/>
      <c r="G3" s="443"/>
      <c r="H3" s="443"/>
      <c r="I3" s="443"/>
      <c r="J3" s="443"/>
      <c r="K3" s="443"/>
      <c r="L3" s="1"/>
      <c r="M3" s="1"/>
      <c r="N3" s="1"/>
    </row>
    <row r="4" spans="2:21" ht="11.25" customHeight="1">
      <c r="B4" s="444" t="s">
        <v>168</v>
      </c>
      <c r="C4" s="447" t="s">
        <v>3</v>
      </c>
      <c r="D4" s="447"/>
      <c r="E4" s="447"/>
      <c r="F4" s="447"/>
      <c r="G4" s="447"/>
      <c r="H4" s="447"/>
      <c r="I4" s="447"/>
      <c r="J4" s="447"/>
      <c r="K4" s="447"/>
      <c r="L4" s="67"/>
      <c r="M4" s="67"/>
      <c r="N4" s="67"/>
    </row>
    <row r="5" spans="2:21" ht="12" customHeight="1">
      <c r="B5" s="445"/>
      <c r="C5" s="448" t="s">
        <v>169</v>
      </c>
      <c r="D5" s="449"/>
      <c r="E5" s="450"/>
      <c r="F5" s="451" t="s">
        <v>124</v>
      </c>
      <c r="G5" s="451"/>
      <c r="H5" s="452"/>
      <c r="I5" s="453" t="s">
        <v>125</v>
      </c>
      <c r="J5" s="454"/>
      <c r="K5" s="454"/>
      <c r="L5" s="453" t="s">
        <v>170</v>
      </c>
      <c r="M5" s="454"/>
      <c r="N5" s="454"/>
      <c r="S5" s="29"/>
    </row>
    <row r="6" spans="2:21" ht="14.25" customHeight="1">
      <c r="B6" s="445"/>
      <c r="C6" s="455" t="s">
        <v>6</v>
      </c>
      <c r="D6" s="449" t="s">
        <v>7</v>
      </c>
      <c r="E6" s="450"/>
      <c r="F6" s="455" t="s">
        <v>6</v>
      </c>
      <c r="G6" s="448" t="s">
        <v>7</v>
      </c>
      <c r="H6" s="450"/>
      <c r="I6" s="455" t="s">
        <v>6</v>
      </c>
      <c r="J6" s="459" t="s">
        <v>7</v>
      </c>
      <c r="K6" s="459"/>
      <c r="L6" s="455" t="s">
        <v>6</v>
      </c>
      <c r="M6" s="459" t="s">
        <v>7</v>
      </c>
      <c r="N6" s="459"/>
      <c r="S6" s="30"/>
    </row>
    <row r="7" spans="2:21" ht="44.25" customHeight="1">
      <c r="B7" s="446"/>
      <c r="C7" s="456"/>
      <c r="D7" s="40" t="s">
        <v>148</v>
      </c>
      <c r="E7" s="9" t="s">
        <v>149</v>
      </c>
      <c r="F7" s="456"/>
      <c r="G7" s="40" t="s">
        <v>8</v>
      </c>
      <c r="H7" s="9" t="s">
        <v>149</v>
      </c>
      <c r="I7" s="456"/>
      <c r="J7" s="40" t="s">
        <v>8</v>
      </c>
      <c r="K7" s="8" t="s">
        <v>149</v>
      </c>
      <c r="L7" s="456"/>
      <c r="M7" s="40" t="s">
        <v>8</v>
      </c>
      <c r="N7" s="8" t="s">
        <v>149</v>
      </c>
      <c r="R7" t="s">
        <v>161</v>
      </c>
      <c r="S7" s="24">
        <f>11613+215</f>
        <v>11828</v>
      </c>
    </row>
    <row r="8" spans="2:21">
      <c r="B8" s="6" t="s">
        <v>8</v>
      </c>
      <c r="C8" s="41">
        <v>13194470</v>
      </c>
      <c r="D8" s="42">
        <v>100</v>
      </c>
      <c r="E8" s="42" t="s">
        <v>65</v>
      </c>
      <c r="F8" s="41">
        <v>7029666</v>
      </c>
      <c r="G8" s="42">
        <v>100</v>
      </c>
      <c r="H8" s="42" t="s">
        <v>65</v>
      </c>
      <c r="I8" s="41">
        <v>6164670</v>
      </c>
      <c r="J8" s="42">
        <v>100</v>
      </c>
      <c r="K8" s="31" t="s">
        <v>65</v>
      </c>
      <c r="L8" s="71">
        <f>SUM(L10:L14)</f>
        <v>3952685</v>
      </c>
      <c r="M8" s="72">
        <f t="shared" ref="M8:M14" si="0">L8/L$8*100</f>
        <v>100</v>
      </c>
      <c r="N8" s="73" t="s">
        <v>65</v>
      </c>
      <c r="P8" s="27">
        <f>F8+I8+S7-C8</f>
        <v>11694</v>
      </c>
      <c r="R8" t="s">
        <v>150</v>
      </c>
      <c r="S8" s="32" t="str">
        <f>IF(C8-F8-I8-S7=0,"Planilha ok","Verifique os números")</f>
        <v>Verifique os números</v>
      </c>
      <c r="T8" s="25"/>
    </row>
    <row r="9" spans="2:21">
      <c r="B9" s="33" t="s">
        <v>162</v>
      </c>
      <c r="C9" s="29">
        <v>8013009</v>
      </c>
      <c r="D9" s="34">
        <v>60.730055849154986</v>
      </c>
      <c r="E9" s="34">
        <v>86.70377983908368</v>
      </c>
      <c r="F9" s="29">
        <v>4754236</v>
      </c>
      <c r="G9" s="34">
        <v>67.631036808861182</v>
      </c>
      <c r="H9" s="34">
        <v>90.458990947129408</v>
      </c>
      <c r="I9" s="29">
        <v>3258714</v>
      </c>
      <c r="J9" s="34">
        <v>52.86112638632725</v>
      </c>
      <c r="K9" s="34">
        <v>81.752409700063495</v>
      </c>
      <c r="L9" s="30">
        <f>SUM(L10:L12)</f>
        <v>59</v>
      </c>
      <c r="M9" s="68">
        <f t="shared" si="0"/>
        <v>1.4926562577083679E-3</v>
      </c>
      <c r="N9" s="68">
        <f>L9/(L$8-L$14)*100</f>
        <v>95.161290322580655</v>
      </c>
      <c r="S9" s="27"/>
    </row>
    <row r="10" spans="2:21" ht="36">
      <c r="B10" s="35" t="s">
        <v>171</v>
      </c>
      <c r="C10" s="29">
        <v>727902</v>
      </c>
      <c r="D10" s="34">
        <v>5.5167202623523339</v>
      </c>
      <c r="E10" s="34">
        <v>7.8761742002821515</v>
      </c>
      <c r="F10" s="29">
        <v>518232</v>
      </c>
      <c r="G10" s="34">
        <v>7.372071446922229</v>
      </c>
      <c r="H10" s="34">
        <v>9.8604158052971638</v>
      </c>
      <c r="I10" s="29">
        <v>209659</v>
      </c>
      <c r="J10" s="34">
        <v>3.4009768568309418</v>
      </c>
      <c r="K10" s="34">
        <v>5.2597829896411934</v>
      </c>
      <c r="L10" s="30">
        <v>11</v>
      </c>
      <c r="M10" s="68">
        <f t="shared" si="0"/>
        <v>2.7829184465749229E-4</v>
      </c>
      <c r="N10" s="68">
        <f t="shared" ref="N10:N13" si="1">L10/(L$8-L$14)*100</f>
        <v>17.741935483870968</v>
      </c>
      <c r="P10" s="16"/>
      <c r="Q10" s="16"/>
      <c r="R10" s="16"/>
      <c r="S10" s="16"/>
      <c r="T10" s="16"/>
      <c r="U10" s="16"/>
    </row>
    <row r="11" spans="2:21" ht="18">
      <c r="B11" s="35" t="s">
        <v>163</v>
      </c>
      <c r="C11" s="29">
        <v>1502501</v>
      </c>
      <c r="D11" s="34">
        <v>11.387353944493412</v>
      </c>
      <c r="E11" s="34">
        <v>16.257627554393494</v>
      </c>
      <c r="F11" s="29">
        <v>983607</v>
      </c>
      <c r="G11" s="34">
        <v>13.992229502795722</v>
      </c>
      <c r="H11" s="34">
        <v>18.715119886461906</v>
      </c>
      <c r="I11" s="29">
        <v>518886</v>
      </c>
      <c r="J11" s="34">
        <v>8.4170928857505753</v>
      </c>
      <c r="K11" s="34">
        <v>13.017460525724916</v>
      </c>
      <c r="L11" s="30">
        <v>8</v>
      </c>
      <c r="M11" s="68">
        <f t="shared" si="0"/>
        <v>2.0239406884181259E-4</v>
      </c>
      <c r="N11" s="68">
        <f t="shared" si="1"/>
        <v>12.903225806451612</v>
      </c>
    </row>
    <row r="12" spans="2:21" ht="18">
      <c r="B12" s="35" t="s">
        <v>164</v>
      </c>
      <c r="C12" s="29">
        <v>5782606</v>
      </c>
      <c r="D12" s="34">
        <v>43.825981642309245</v>
      </c>
      <c r="E12" s="34">
        <v>62.569978084408028</v>
      </c>
      <c r="F12" s="29">
        <v>3252397</v>
      </c>
      <c r="G12" s="34">
        <v>46.266735859143239</v>
      </c>
      <c r="H12" s="34">
        <v>61.883455255370336</v>
      </c>
      <c r="I12" s="29">
        <v>2530169</v>
      </c>
      <c r="J12" s="34">
        <v>41.043056643745736</v>
      </c>
      <c r="K12" s="34">
        <v>63.475166184697386</v>
      </c>
      <c r="L12" s="30">
        <v>40</v>
      </c>
      <c r="M12" s="68">
        <f t="shared" si="0"/>
        <v>1.011970344209063E-3</v>
      </c>
      <c r="N12" s="68">
        <f t="shared" si="1"/>
        <v>64.516129032258064</v>
      </c>
      <c r="P12" s="27" t="s">
        <v>172</v>
      </c>
    </row>
    <row r="13" spans="2:21">
      <c r="B13" s="36" t="s">
        <v>165</v>
      </c>
      <c r="C13" s="29">
        <v>1228813</v>
      </c>
      <c r="D13" s="34">
        <v>9.3130910146447707</v>
      </c>
      <c r="E13" s="34">
        <v>13.296220160916322</v>
      </c>
      <c r="F13" s="29">
        <v>501445</v>
      </c>
      <c r="G13" s="34">
        <v>7.1332692051087481</v>
      </c>
      <c r="H13" s="34">
        <v>9.5410090528705993</v>
      </c>
      <c r="I13" s="29">
        <v>727363</v>
      </c>
      <c r="J13" s="34">
        <v>11.798895966856296</v>
      </c>
      <c r="K13" s="34">
        <v>18.247590299936505</v>
      </c>
      <c r="L13" s="30">
        <v>3</v>
      </c>
      <c r="M13" s="68">
        <f t="shared" si="0"/>
        <v>7.589777581567972E-5</v>
      </c>
      <c r="N13" s="68">
        <f t="shared" si="1"/>
        <v>4.838709677419355</v>
      </c>
    </row>
    <row r="14" spans="2:21">
      <c r="B14" s="37" t="s">
        <v>166</v>
      </c>
      <c r="C14" s="38">
        <v>3952648</v>
      </c>
      <c r="D14" s="39">
        <v>29.956853136200241</v>
      </c>
      <c r="E14" s="39" t="s">
        <v>65</v>
      </c>
      <c r="F14" s="38">
        <v>1773985</v>
      </c>
      <c r="G14" s="39">
        <v>25.235693986030061</v>
      </c>
      <c r="H14" s="39" t="s">
        <v>65</v>
      </c>
      <c r="I14" s="38">
        <v>2178593</v>
      </c>
      <c r="J14" s="39">
        <v>35.339977646816457</v>
      </c>
      <c r="K14" s="39" t="s">
        <v>65</v>
      </c>
      <c r="L14" s="69">
        <v>3952623</v>
      </c>
      <c r="M14" s="74">
        <f t="shared" si="0"/>
        <v>99.998431445966474</v>
      </c>
      <c r="N14" s="74" t="s">
        <v>65</v>
      </c>
    </row>
    <row r="15" spans="2:21" ht="6" customHeight="1">
      <c r="B15" s="460"/>
      <c r="C15" s="460"/>
      <c r="D15" s="460"/>
      <c r="E15" s="460"/>
      <c r="F15" s="460"/>
      <c r="G15" s="460"/>
      <c r="H15" s="460"/>
      <c r="I15" s="460"/>
      <c r="J15" s="460"/>
      <c r="K15" s="460"/>
      <c r="L15" s="65"/>
      <c r="M15" s="65"/>
      <c r="N15" s="65"/>
    </row>
    <row r="16" spans="2:21" ht="12" customHeight="1">
      <c r="B16" s="461" t="s">
        <v>92</v>
      </c>
      <c r="C16" s="461"/>
      <c r="D16" s="461"/>
      <c r="E16" s="461"/>
      <c r="F16" s="461"/>
      <c r="G16" s="461"/>
      <c r="H16" s="461"/>
      <c r="I16" s="461"/>
      <c r="J16" s="461"/>
      <c r="K16" s="461"/>
      <c r="L16" s="65"/>
      <c r="M16" s="65"/>
      <c r="N16" s="65"/>
    </row>
    <row r="17" spans="2:14" ht="18" customHeight="1">
      <c r="B17" s="461" t="s">
        <v>167</v>
      </c>
      <c r="C17" s="461"/>
      <c r="D17" s="461"/>
      <c r="E17" s="461"/>
      <c r="F17" s="461"/>
      <c r="G17" s="461"/>
      <c r="H17" s="461"/>
      <c r="I17" s="461"/>
      <c r="J17" s="461"/>
      <c r="K17" s="461"/>
      <c r="L17" s="65"/>
      <c r="M17" s="65"/>
      <c r="N17" s="65"/>
    </row>
    <row r="18" spans="2:14" ht="18.75" customHeight="1">
      <c r="B18" s="461" t="s">
        <v>158</v>
      </c>
      <c r="C18" s="461"/>
      <c r="D18" s="461"/>
      <c r="E18" s="461"/>
      <c r="F18" s="461"/>
      <c r="G18" s="461"/>
      <c r="H18" s="461"/>
      <c r="I18" s="461"/>
      <c r="J18" s="461"/>
      <c r="K18" s="461"/>
      <c r="L18" s="65"/>
      <c r="M18" s="65"/>
      <c r="N18" s="65"/>
    </row>
    <row r="19" spans="2:14" ht="11.45" customHeight="1">
      <c r="B19" s="457"/>
      <c r="C19" s="457"/>
      <c r="D19" s="457"/>
      <c r="E19" s="457"/>
      <c r="F19" s="457"/>
      <c r="G19" s="457"/>
      <c r="H19" s="457"/>
      <c r="I19" s="457"/>
      <c r="J19" s="457"/>
      <c r="K19" s="457"/>
      <c r="L19" s="64"/>
      <c r="M19" s="64"/>
      <c r="N19" s="64"/>
    </row>
    <row r="20" spans="2:14" ht="19.5" customHeight="1">
      <c r="B20" s="457"/>
      <c r="C20" s="457"/>
      <c r="D20" s="457"/>
      <c r="E20" s="457"/>
      <c r="F20" s="457"/>
      <c r="G20" s="457"/>
      <c r="H20" s="457"/>
      <c r="I20" s="457"/>
      <c r="J20" s="457"/>
      <c r="K20" s="457"/>
      <c r="L20" s="64"/>
      <c r="M20" s="64"/>
      <c r="N20" s="64"/>
    </row>
    <row r="21" spans="2:14" ht="21" customHeight="1">
      <c r="B21" s="458"/>
      <c r="C21" s="458"/>
      <c r="D21" s="458"/>
      <c r="E21" s="458"/>
      <c r="F21" s="458"/>
      <c r="G21" s="458"/>
      <c r="H21" s="458"/>
      <c r="I21" s="458"/>
      <c r="J21" s="458"/>
      <c r="K21" s="458"/>
      <c r="L21" s="10"/>
      <c r="M21" s="10"/>
      <c r="N21" s="10"/>
    </row>
    <row r="22" spans="2:14" ht="14.45" customHeight="1">
      <c r="B22" s="458"/>
      <c r="C22" s="458"/>
      <c r="D22" s="458"/>
      <c r="E22" s="458"/>
      <c r="F22" s="458"/>
      <c r="G22" s="458"/>
      <c r="H22" s="458"/>
      <c r="I22" s="458"/>
      <c r="J22" s="458"/>
      <c r="K22" s="458"/>
      <c r="L22" s="10"/>
      <c r="M22" s="10"/>
      <c r="N22" s="10"/>
    </row>
    <row r="23" spans="2:14" ht="14.45" customHeight="1">
      <c r="B23" s="458"/>
      <c r="C23" s="458"/>
      <c r="D23" s="458"/>
      <c r="E23" s="458"/>
      <c r="F23" s="458"/>
      <c r="G23" s="458"/>
      <c r="H23" s="458"/>
      <c r="I23" s="458"/>
      <c r="J23" s="458"/>
      <c r="K23" s="458"/>
      <c r="L23" s="10"/>
      <c r="M23" s="10"/>
      <c r="N23" s="10"/>
    </row>
  </sheetData>
  <mergeCells count="22">
    <mergeCell ref="B19:K19"/>
    <mergeCell ref="B20:K20"/>
    <mergeCell ref="B21:K23"/>
    <mergeCell ref="L5:N5"/>
    <mergeCell ref="L6:L7"/>
    <mergeCell ref="M6:N6"/>
    <mergeCell ref="I6:I7"/>
    <mergeCell ref="J6:K6"/>
    <mergeCell ref="B15:K15"/>
    <mergeCell ref="B16:K16"/>
    <mergeCell ref="B17:K17"/>
    <mergeCell ref="B18:K18"/>
    <mergeCell ref="B2:K3"/>
    <mergeCell ref="B4:B7"/>
    <mergeCell ref="C4:K4"/>
    <mergeCell ref="C5:E5"/>
    <mergeCell ref="F5:H5"/>
    <mergeCell ref="I5:K5"/>
    <mergeCell ref="C6:C7"/>
    <mergeCell ref="D6:E6"/>
    <mergeCell ref="F6:F7"/>
    <mergeCell ref="G6:H6"/>
  </mergeCells>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79E23-48F9-405F-9A22-D2B2CB8F7859}">
  <sheetPr>
    <tabColor rgb="FF92D050"/>
  </sheetPr>
  <dimension ref="B2:H22"/>
  <sheetViews>
    <sheetView showGridLines="0" zoomScaleNormal="100" workbookViewId="0">
      <selection activeCell="J16" sqref="J16"/>
    </sheetView>
  </sheetViews>
  <sheetFormatPr defaultRowHeight="14.25"/>
  <cols>
    <col min="1" max="1" width="9.140625" style="43"/>
    <col min="2" max="2" width="39.7109375" style="43" customWidth="1"/>
    <col min="3" max="3" width="10.140625" style="43" bestFit="1" customWidth="1"/>
    <col min="4" max="4" width="7.28515625" style="43" customWidth="1"/>
    <col min="5" max="5" width="12.5703125" style="43" customWidth="1"/>
    <col min="6" max="6" width="7.85546875" style="43" customWidth="1"/>
    <col min="7" max="8" width="10" style="43" bestFit="1" customWidth="1"/>
    <col min="9" max="9" width="9.140625" style="43"/>
    <col min="10" max="10" width="10.85546875" style="43" bestFit="1" customWidth="1"/>
    <col min="11" max="16384" width="9.140625" style="43"/>
  </cols>
  <sheetData>
    <row r="2" spans="2:8">
      <c r="B2" s="364" t="s">
        <v>173</v>
      </c>
      <c r="C2" s="364"/>
      <c r="D2" s="364"/>
      <c r="E2" s="364"/>
    </row>
    <row r="3" spans="2:8" ht="18.75" customHeight="1">
      <c r="B3" s="364"/>
      <c r="C3" s="364"/>
      <c r="D3" s="364"/>
      <c r="E3" s="364"/>
    </row>
    <row r="4" spans="2:8" ht="15" customHeight="1">
      <c r="B4" s="462" t="s">
        <v>174</v>
      </c>
      <c r="C4" s="463" t="s">
        <v>115</v>
      </c>
      <c r="D4" s="463"/>
      <c r="E4" s="464"/>
    </row>
    <row r="5" spans="2:8" ht="38.25" customHeight="1">
      <c r="B5" s="377"/>
      <c r="C5" s="108" t="s">
        <v>6</v>
      </c>
      <c r="D5" s="131" t="s">
        <v>7</v>
      </c>
      <c r="E5" s="215" t="s">
        <v>175</v>
      </c>
    </row>
    <row r="6" spans="2:8">
      <c r="B6" s="116" t="s">
        <v>8</v>
      </c>
      <c r="C6" s="132">
        <v>2895034</v>
      </c>
      <c r="D6" s="111">
        <v>100</v>
      </c>
      <c r="E6" s="111" t="s">
        <v>65</v>
      </c>
    </row>
    <row r="7" spans="2:8">
      <c r="B7" s="216" t="s">
        <v>176</v>
      </c>
      <c r="C7" s="132">
        <f>SUM(C8:C9)</f>
        <v>2203747</v>
      </c>
      <c r="D7" s="111">
        <f>100*C7/C$6</f>
        <v>76.121627587102608</v>
      </c>
      <c r="E7" s="111" t="s">
        <v>65</v>
      </c>
    </row>
    <row r="8" spans="2:8">
      <c r="B8" s="217" t="s">
        <v>177</v>
      </c>
      <c r="C8" s="112">
        <v>506633</v>
      </c>
      <c r="D8" s="111">
        <f t="shared" ref="D8:D18" si="0">100*C8/C$6</f>
        <v>17.500070810912757</v>
      </c>
      <c r="E8" s="113">
        <f>100*C8/C$7</f>
        <v>22.989617229200991</v>
      </c>
      <c r="G8" s="47"/>
      <c r="H8" s="47"/>
    </row>
    <row r="9" spans="2:8">
      <c r="B9" s="217" t="s">
        <v>178</v>
      </c>
      <c r="C9" s="112">
        <f>SUM(C10:C17)</f>
        <v>1697114</v>
      </c>
      <c r="D9" s="111">
        <f t="shared" si="0"/>
        <v>58.621556776189848</v>
      </c>
      <c r="E9" s="113" t="s">
        <v>65</v>
      </c>
      <c r="G9" s="47"/>
      <c r="H9" s="47"/>
    </row>
    <row r="10" spans="2:8">
      <c r="B10" s="238" t="s">
        <v>179</v>
      </c>
      <c r="C10" s="112">
        <v>598536</v>
      </c>
      <c r="D10" s="113">
        <f t="shared" si="0"/>
        <v>20.674575842632592</v>
      </c>
      <c r="E10" s="113">
        <f>100*C10/C$7+E8</f>
        <v>50.149540759442893</v>
      </c>
      <c r="G10" s="47"/>
      <c r="H10" s="47"/>
    </row>
    <row r="11" spans="2:8">
      <c r="B11" s="238" t="s">
        <v>180</v>
      </c>
      <c r="C11" s="112">
        <v>297242</v>
      </c>
      <c r="D11" s="113">
        <f t="shared" si="0"/>
        <v>10.267306014368053</v>
      </c>
      <c r="E11" s="113">
        <f>100*C11/C$7+E10</f>
        <v>63.637568196349214</v>
      </c>
      <c r="H11" s="47"/>
    </row>
    <row r="12" spans="2:8">
      <c r="B12" s="238" t="s">
        <v>181</v>
      </c>
      <c r="C12" s="112">
        <v>176274</v>
      </c>
      <c r="D12" s="113">
        <f t="shared" si="0"/>
        <v>6.0888404074010873</v>
      </c>
      <c r="E12" s="113">
        <f t="shared" ref="E12:E17" si="1">100*C12/C$7+E11</f>
        <v>71.636399278138555</v>
      </c>
    </row>
    <row r="13" spans="2:8">
      <c r="B13" s="238" t="s">
        <v>182</v>
      </c>
      <c r="C13" s="112">
        <v>122867</v>
      </c>
      <c r="D13" s="113">
        <f t="shared" si="0"/>
        <v>4.2440606915151946</v>
      </c>
      <c r="E13" s="113">
        <f t="shared" si="1"/>
        <v>77.211767049484365</v>
      </c>
    </row>
    <row r="14" spans="2:8">
      <c r="B14" s="238" t="s">
        <v>183</v>
      </c>
      <c r="C14" s="112">
        <v>105716</v>
      </c>
      <c r="D14" s="113">
        <f t="shared" si="0"/>
        <v>3.6516324160614348</v>
      </c>
      <c r="E14" s="113">
        <f t="shared" si="1"/>
        <v>82.008869439186995</v>
      </c>
    </row>
    <row r="15" spans="2:8">
      <c r="B15" s="238" t="s">
        <v>184</v>
      </c>
      <c r="C15" s="112">
        <v>245461</v>
      </c>
      <c r="D15" s="113">
        <f t="shared" si="0"/>
        <v>8.4786914419657933</v>
      </c>
      <c r="E15" s="113">
        <f t="shared" si="1"/>
        <v>93.147216989972094</v>
      </c>
    </row>
    <row r="16" spans="2:8">
      <c r="B16" s="238" t="s">
        <v>185</v>
      </c>
      <c r="C16" s="112">
        <v>88621</v>
      </c>
      <c r="D16" s="113">
        <f t="shared" si="0"/>
        <v>3.0611384874927201</v>
      </c>
      <c r="E16" s="113">
        <f t="shared" si="1"/>
        <v>97.16859512457647</v>
      </c>
    </row>
    <row r="17" spans="2:5">
      <c r="B17" s="238" t="s">
        <v>186</v>
      </c>
      <c r="C17" s="112">
        <v>62397</v>
      </c>
      <c r="D17" s="113">
        <f t="shared" si="0"/>
        <v>2.1553114747529736</v>
      </c>
      <c r="E17" s="113">
        <f t="shared" si="1"/>
        <v>100.00000000000001</v>
      </c>
    </row>
    <row r="18" spans="2:5">
      <c r="B18" s="218" t="s">
        <v>187</v>
      </c>
      <c r="C18" s="219">
        <f>+C6-C7</f>
        <v>691287</v>
      </c>
      <c r="D18" s="220">
        <f t="shared" si="0"/>
        <v>23.878372412897395</v>
      </c>
      <c r="E18" s="220" t="s">
        <v>65</v>
      </c>
    </row>
    <row r="19" spans="2:5" ht="34.5" customHeight="1">
      <c r="B19" s="465" t="s">
        <v>553</v>
      </c>
      <c r="C19" s="465"/>
      <c r="D19" s="465"/>
      <c r="E19" s="465"/>
    </row>
    <row r="20" spans="2:5" ht="61.5" customHeight="1">
      <c r="B20" s="376" t="s">
        <v>613</v>
      </c>
      <c r="C20" s="376"/>
      <c r="D20" s="376"/>
      <c r="E20" s="376"/>
    </row>
    <row r="21" spans="2:5" ht="27" customHeight="1">
      <c r="B21" s="376" t="s">
        <v>554</v>
      </c>
      <c r="C21" s="376"/>
      <c r="D21" s="376"/>
      <c r="E21" s="376"/>
    </row>
    <row r="22" spans="2:5">
      <c r="B22" s="63"/>
      <c r="C22" s="63"/>
      <c r="D22" s="63"/>
      <c r="E22" s="63"/>
    </row>
  </sheetData>
  <mergeCells count="6">
    <mergeCell ref="B21:E21"/>
    <mergeCell ref="B2:E3"/>
    <mergeCell ref="B4:B5"/>
    <mergeCell ref="C4:E4"/>
    <mergeCell ref="B19:E19"/>
    <mergeCell ref="B20:E20"/>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286EE-B9F8-4CE2-A56D-4C374FDA8786}">
  <sheetPr>
    <tabColor rgb="FF92D050"/>
  </sheetPr>
  <dimension ref="B2:E18"/>
  <sheetViews>
    <sheetView showGridLines="0" topLeftCell="A8" zoomScaleNormal="100" workbookViewId="0">
      <selection activeCell="J16" sqref="J16"/>
    </sheetView>
  </sheetViews>
  <sheetFormatPr defaultRowHeight="14.25"/>
  <cols>
    <col min="1" max="1" width="9.140625" style="43"/>
    <col min="2" max="2" width="35.42578125" style="43" customWidth="1"/>
    <col min="3" max="3" width="9.140625" style="43"/>
    <col min="4" max="4" width="8" style="43" customWidth="1"/>
    <col min="5" max="5" width="10.5703125" style="43" customWidth="1"/>
    <col min="6" max="6" width="7.85546875" style="43" customWidth="1"/>
    <col min="7" max="16384" width="9.140625" style="43"/>
  </cols>
  <sheetData>
    <row r="2" spans="2:5">
      <c r="B2" s="364" t="s">
        <v>188</v>
      </c>
      <c r="C2" s="364"/>
      <c r="D2" s="364"/>
      <c r="E2" s="364"/>
    </row>
    <row r="3" spans="2:5" ht="25.5" customHeight="1">
      <c r="B3" s="364"/>
      <c r="C3" s="364"/>
      <c r="D3" s="364"/>
      <c r="E3" s="364"/>
    </row>
    <row r="4" spans="2:5" ht="15" customHeight="1">
      <c r="B4" s="462" t="s">
        <v>189</v>
      </c>
      <c r="C4" s="463" t="s">
        <v>115</v>
      </c>
      <c r="D4" s="463"/>
      <c r="E4" s="464"/>
    </row>
    <row r="5" spans="2:5" ht="48">
      <c r="B5" s="377"/>
      <c r="C5" s="108" t="s">
        <v>6</v>
      </c>
      <c r="D5" s="131" t="s">
        <v>7</v>
      </c>
      <c r="E5" s="215" t="s">
        <v>190</v>
      </c>
    </row>
    <row r="6" spans="2:5" ht="16.5" customHeight="1">
      <c r="B6" s="116" t="s">
        <v>8</v>
      </c>
      <c r="C6" s="221">
        <f>SUM(C15+C7)</f>
        <v>2895034</v>
      </c>
      <c r="D6" s="222">
        <f t="shared" ref="D6:D14" si="0">C6/C$6*100</f>
        <v>100</v>
      </c>
      <c r="E6" s="222" t="s">
        <v>65</v>
      </c>
    </row>
    <row r="7" spans="2:5" ht="16.5" customHeight="1">
      <c r="B7" s="330" t="s">
        <v>191</v>
      </c>
      <c r="C7" s="221">
        <f>SUM(C8:C14)</f>
        <v>2203747</v>
      </c>
      <c r="D7" s="222">
        <f t="shared" si="0"/>
        <v>76.121627587102608</v>
      </c>
      <c r="E7" s="222" t="s">
        <v>65</v>
      </c>
    </row>
    <row r="8" spans="2:5" ht="16.5" customHeight="1">
      <c r="B8" s="331" t="s">
        <v>179</v>
      </c>
      <c r="C8" s="223">
        <v>292677</v>
      </c>
      <c r="D8" s="224">
        <f t="shared" si="0"/>
        <v>10.109622201328206</v>
      </c>
      <c r="E8" s="224">
        <f>100*C8/C$7</f>
        <v>13.280880246235162</v>
      </c>
    </row>
    <row r="9" spans="2:5" ht="16.5" customHeight="1">
      <c r="B9" s="331" t="s">
        <v>180</v>
      </c>
      <c r="C9" s="223">
        <v>292869</v>
      </c>
      <c r="D9" s="224">
        <f t="shared" si="0"/>
        <v>10.116254247791218</v>
      </c>
      <c r="E9" s="224">
        <f>100*C9/C$7+E8</f>
        <v>26.570472926338638</v>
      </c>
    </row>
    <row r="10" spans="2:5" ht="16.5" customHeight="1">
      <c r="B10" s="331" t="s">
        <v>181</v>
      </c>
      <c r="C10" s="223">
        <v>245699</v>
      </c>
      <c r="D10" s="224">
        <f t="shared" si="0"/>
        <v>8.486912416227236</v>
      </c>
      <c r="E10" s="224">
        <f t="shared" ref="E10:E14" si="1">100*C10/C$7+E9</f>
        <v>37.719620264939664</v>
      </c>
    </row>
    <row r="11" spans="2:5" ht="16.5" customHeight="1">
      <c r="B11" s="331" t="s">
        <v>182</v>
      </c>
      <c r="C11" s="223">
        <v>215609</v>
      </c>
      <c r="D11" s="224">
        <f t="shared" si="0"/>
        <v>7.4475463846020471</v>
      </c>
      <c r="E11" s="224">
        <f t="shared" si="1"/>
        <v>47.503365858240528</v>
      </c>
    </row>
    <row r="12" spans="2:5" ht="16.5" customHeight="1">
      <c r="B12" s="331" t="s">
        <v>183</v>
      </c>
      <c r="C12" s="223">
        <v>193677</v>
      </c>
      <c r="D12" s="224">
        <f t="shared" si="0"/>
        <v>6.6899732438375503</v>
      </c>
      <c r="E12" s="224">
        <f t="shared" si="1"/>
        <v>56.291897391125204</v>
      </c>
    </row>
    <row r="13" spans="2:5" ht="16.5" customHeight="1">
      <c r="B13" s="331" t="s">
        <v>192</v>
      </c>
      <c r="C13" s="223">
        <v>729065</v>
      </c>
      <c r="D13" s="224">
        <f t="shared" si="0"/>
        <v>25.183296638312363</v>
      </c>
      <c r="E13" s="224">
        <f t="shared" si="1"/>
        <v>89.374869256770396</v>
      </c>
    </row>
    <row r="14" spans="2:5" ht="16.5" customHeight="1">
      <c r="B14" s="331" t="s">
        <v>186</v>
      </c>
      <c r="C14" s="223">
        <v>234151</v>
      </c>
      <c r="D14" s="224">
        <f t="shared" si="0"/>
        <v>8.0880224550039834</v>
      </c>
      <c r="E14" s="224">
        <f t="shared" si="1"/>
        <v>100</v>
      </c>
    </row>
    <row r="15" spans="2:5" ht="16.5" customHeight="1">
      <c r="B15" s="330" t="s">
        <v>193</v>
      </c>
      <c r="C15" s="221">
        <v>691287</v>
      </c>
      <c r="D15" s="222">
        <f>C15/C$6*100</f>
        <v>23.878372412897399</v>
      </c>
      <c r="E15" s="222" t="s">
        <v>65</v>
      </c>
    </row>
    <row r="16" spans="2:5" ht="36.75" customHeight="1">
      <c r="B16" s="466" t="s">
        <v>547</v>
      </c>
      <c r="C16" s="466"/>
      <c r="D16" s="466"/>
      <c r="E16" s="466"/>
    </row>
    <row r="17" spans="2:5" ht="68.25" customHeight="1">
      <c r="B17" s="376" t="s">
        <v>614</v>
      </c>
      <c r="C17" s="376"/>
      <c r="D17" s="376"/>
      <c r="E17" s="376"/>
    </row>
    <row r="18" spans="2:5" ht="48.75" customHeight="1">
      <c r="B18" s="411" t="s">
        <v>540</v>
      </c>
      <c r="C18" s="411"/>
      <c r="D18" s="411"/>
      <c r="E18" s="411"/>
    </row>
  </sheetData>
  <mergeCells count="6">
    <mergeCell ref="B18:E18"/>
    <mergeCell ref="B2:E3"/>
    <mergeCell ref="B4:B5"/>
    <mergeCell ref="C4:E4"/>
    <mergeCell ref="B16:E16"/>
    <mergeCell ref="B17:E17"/>
  </mergeCells>
  <pageMargins left="0.7" right="0.7" top="0.75" bottom="0.75" header="0.3" footer="0.3"/>
  <ignoredErrors>
    <ignoredError sqref="C7" formulaRange="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78D6A-6D75-4088-9C2C-FFCBA7FEB713}">
  <sheetPr>
    <tabColor rgb="FF92D050"/>
  </sheetPr>
  <dimension ref="B1:Q17"/>
  <sheetViews>
    <sheetView showGridLines="0" zoomScaleNormal="100" workbookViewId="0">
      <selection activeCell="H1" sqref="H1"/>
    </sheetView>
  </sheetViews>
  <sheetFormatPr defaultRowHeight="15" customHeight="1"/>
  <cols>
    <col min="1" max="1" width="1.85546875" style="49" customWidth="1"/>
    <col min="2" max="2" width="47" style="49" customWidth="1"/>
    <col min="3" max="3" width="10.140625" style="49" customWidth="1"/>
    <col min="4" max="4" width="7.7109375" style="49" customWidth="1"/>
    <col min="5" max="5" width="13" style="49" customWidth="1"/>
    <col min="6" max="6" width="6.140625" style="49" customWidth="1"/>
    <col min="7" max="16384" width="9.140625" style="49"/>
  </cols>
  <sheetData>
    <row r="1" spans="2:17" ht="26.25" customHeight="1">
      <c r="B1" s="399" t="s">
        <v>194</v>
      </c>
      <c r="C1" s="399"/>
      <c r="D1" s="399"/>
      <c r="E1" s="399"/>
      <c r="F1" s="130"/>
      <c r="G1" s="43"/>
      <c r="H1" s="43"/>
      <c r="I1" s="43"/>
      <c r="J1" s="43"/>
      <c r="K1" s="43"/>
      <c r="L1" s="43"/>
      <c r="M1" s="43"/>
      <c r="N1" s="43"/>
      <c r="O1" s="43"/>
      <c r="P1" s="43"/>
      <c r="Q1" s="43"/>
    </row>
    <row r="2" spans="2:17" ht="1.5" customHeight="1">
      <c r="B2" s="59"/>
      <c r="C2" s="60"/>
      <c r="D2" s="60"/>
      <c r="E2" s="60"/>
      <c r="F2" s="43"/>
      <c r="G2" s="43"/>
      <c r="H2" s="43"/>
      <c r="I2" s="43"/>
      <c r="J2" s="43"/>
      <c r="K2" s="43"/>
      <c r="L2" s="43"/>
      <c r="M2" s="43"/>
      <c r="N2" s="43"/>
      <c r="O2" s="43"/>
      <c r="P2" s="43"/>
      <c r="Q2" s="43"/>
    </row>
    <row r="3" spans="2:17" ht="14.45" customHeight="1">
      <c r="B3" s="430" t="s">
        <v>195</v>
      </c>
      <c r="C3" s="467" t="s">
        <v>115</v>
      </c>
      <c r="D3" s="468"/>
      <c r="E3" s="469"/>
      <c r="F3" s="470"/>
      <c r="G3" s="43"/>
      <c r="H3" s="43"/>
      <c r="I3" s="43"/>
      <c r="J3" s="43"/>
      <c r="K3" s="43"/>
      <c r="L3" s="43"/>
      <c r="M3" s="43"/>
      <c r="N3" s="43"/>
      <c r="O3" s="43"/>
      <c r="P3" s="43"/>
      <c r="Q3" s="43"/>
    </row>
    <row r="4" spans="2:17" ht="24">
      <c r="B4" s="372"/>
      <c r="C4" s="88" t="s">
        <v>6</v>
      </c>
      <c r="D4" s="131" t="s">
        <v>7</v>
      </c>
      <c r="E4" s="131" t="s">
        <v>196</v>
      </c>
      <c r="F4" s="470"/>
      <c r="G4" s="43"/>
      <c r="H4" s="43"/>
      <c r="I4" s="43"/>
      <c r="J4" s="43"/>
      <c r="K4" s="43"/>
      <c r="L4" s="43"/>
      <c r="M4" s="43"/>
      <c r="N4" s="43"/>
      <c r="O4" s="43"/>
      <c r="P4" s="43"/>
      <c r="Q4" s="43"/>
    </row>
    <row r="5" spans="2:17" ht="14.25">
      <c r="B5" s="110" t="s">
        <v>8</v>
      </c>
      <c r="C5" s="221">
        <f>SUM(C6:C11)</f>
        <v>2895034</v>
      </c>
      <c r="D5" s="222">
        <f t="shared" ref="D5:D11" si="0">(C5/C$5)*100</f>
        <v>100</v>
      </c>
      <c r="E5" s="222" t="s">
        <v>65</v>
      </c>
      <c r="F5" s="44"/>
      <c r="G5" s="43"/>
      <c r="H5" s="43"/>
      <c r="I5" s="43"/>
      <c r="J5" s="43"/>
      <c r="K5" s="43"/>
      <c r="L5" s="43"/>
      <c r="M5" s="43"/>
      <c r="N5" s="43"/>
      <c r="O5" s="43"/>
      <c r="P5" s="43"/>
      <c r="Q5" s="43"/>
    </row>
    <row r="6" spans="2:17" ht="24">
      <c r="B6" s="291" t="s">
        <v>197</v>
      </c>
      <c r="C6" s="223">
        <v>266291</v>
      </c>
      <c r="D6" s="224">
        <f t="shared" si="0"/>
        <v>9.1981993993852935</v>
      </c>
      <c r="E6" s="224">
        <f>D6/($D$5-$D$11)*100</f>
        <v>12.083555870977932</v>
      </c>
      <c r="F6" s="46"/>
      <c r="G6" s="43"/>
      <c r="H6" s="43"/>
      <c r="I6" s="43"/>
      <c r="J6" s="43"/>
      <c r="K6" s="43"/>
      <c r="L6" s="43"/>
      <c r="M6" s="43"/>
      <c r="N6" s="43"/>
      <c r="O6" s="43"/>
      <c r="P6" s="43"/>
      <c r="Q6" s="43"/>
    </row>
    <row r="7" spans="2:17" ht="14.25">
      <c r="B7" s="291" t="s">
        <v>198</v>
      </c>
      <c r="C7" s="223">
        <v>1751913</v>
      </c>
      <c r="D7" s="224">
        <f t="shared" si="0"/>
        <v>60.514418828932584</v>
      </c>
      <c r="E7" s="224">
        <f t="shared" ref="E7:E10" si="1">D7/($D$5-$D$11)*100</f>
        <v>79.497011226787833</v>
      </c>
      <c r="F7" s="46"/>
      <c r="G7" s="43"/>
      <c r="H7" s="43"/>
      <c r="I7" s="43"/>
      <c r="J7" s="43"/>
      <c r="K7" s="43"/>
      <c r="L7" s="43"/>
      <c r="M7" s="43"/>
      <c r="N7" s="43"/>
      <c r="O7" s="43"/>
      <c r="P7" s="43"/>
      <c r="Q7" s="43"/>
    </row>
    <row r="8" spans="2:17" ht="14.25">
      <c r="B8" s="291" t="s">
        <v>199</v>
      </c>
      <c r="C8" s="223">
        <v>21491</v>
      </c>
      <c r="D8" s="224">
        <f t="shared" si="0"/>
        <v>0.74234015904476425</v>
      </c>
      <c r="E8" s="224">
        <f t="shared" si="1"/>
        <v>0.97520268887490258</v>
      </c>
      <c r="F8" s="46"/>
      <c r="G8" s="43"/>
      <c r="H8" s="75"/>
      <c r="I8" s="75"/>
      <c r="J8" s="75"/>
      <c r="K8" s="75"/>
      <c r="L8" s="75"/>
      <c r="M8" s="75"/>
      <c r="N8" s="75"/>
      <c r="O8" s="75"/>
      <c r="P8" s="75"/>
      <c r="Q8" s="75"/>
    </row>
    <row r="9" spans="2:17" ht="14.25">
      <c r="B9" s="291" t="s">
        <v>200</v>
      </c>
      <c r="C9" s="223">
        <v>130416</v>
      </c>
      <c r="D9" s="224">
        <f t="shared" si="0"/>
        <v>4.5048175600010225</v>
      </c>
      <c r="E9" s="224">
        <f t="shared" si="1"/>
        <v>5.917920705053711</v>
      </c>
      <c r="F9" s="46"/>
      <c r="G9" s="43"/>
      <c r="H9" s="75"/>
      <c r="I9" s="75"/>
      <c r="J9" s="75"/>
      <c r="K9" s="75"/>
      <c r="L9" s="75"/>
      <c r="M9" s="75"/>
      <c r="N9" s="75"/>
      <c r="O9" s="75"/>
      <c r="P9" s="75"/>
      <c r="Q9" s="75"/>
    </row>
    <row r="10" spans="2:17" ht="14.25">
      <c r="B10" s="291" t="s">
        <v>59</v>
      </c>
      <c r="C10" s="223">
        <v>33636</v>
      </c>
      <c r="D10" s="224">
        <f t="shared" si="0"/>
        <v>1.161851639738946</v>
      </c>
      <c r="E10" s="224">
        <f t="shared" si="1"/>
        <v>1.5263095083056266</v>
      </c>
      <c r="F10" s="46"/>
      <c r="G10" s="43"/>
      <c r="H10" s="75"/>
      <c r="I10" s="75"/>
      <c r="J10" s="75"/>
      <c r="K10" s="75"/>
      <c r="L10" s="75"/>
      <c r="M10" s="75"/>
      <c r="N10" s="75"/>
      <c r="O10" s="75"/>
      <c r="P10" s="75"/>
      <c r="Q10" s="75"/>
    </row>
    <row r="11" spans="2:17" ht="14.25">
      <c r="B11" s="292" t="s">
        <v>166</v>
      </c>
      <c r="C11" s="226">
        <v>691287</v>
      </c>
      <c r="D11" s="224">
        <f t="shared" si="0"/>
        <v>23.878372412897399</v>
      </c>
      <c r="E11" s="227" t="s">
        <v>65</v>
      </c>
      <c r="F11" s="61"/>
      <c r="G11" s="43"/>
      <c r="H11" s="75"/>
      <c r="I11" s="75"/>
      <c r="J11" s="75"/>
      <c r="K11" s="75"/>
      <c r="L11" s="75"/>
      <c r="M11" s="75"/>
      <c r="N11" s="75"/>
      <c r="O11" s="75"/>
      <c r="P11" s="75"/>
      <c r="Q11" s="75"/>
    </row>
    <row r="12" spans="2:17" ht="24" customHeight="1">
      <c r="B12" s="465" t="s">
        <v>553</v>
      </c>
      <c r="C12" s="465"/>
      <c r="D12" s="465"/>
      <c r="E12" s="465"/>
      <c r="F12" s="62"/>
      <c r="G12" s="43"/>
      <c r="H12" s="43"/>
      <c r="I12" s="43"/>
      <c r="J12" s="43"/>
      <c r="K12" s="43"/>
      <c r="L12" s="43"/>
      <c r="M12" s="43"/>
      <c r="N12" s="43"/>
      <c r="O12" s="43"/>
      <c r="P12" s="43"/>
      <c r="Q12" s="43"/>
    </row>
    <row r="13" spans="2:17" ht="35.25" customHeight="1">
      <c r="B13" s="471" t="s">
        <v>555</v>
      </c>
      <c r="C13" s="471"/>
      <c r="D13" s="471"/>
      <c r="E13" s="471"/>
      <c r="F13" s="471"/>
      <c r="G13" s="43"/>
      <c r="H13" s="43"/>
      <c r="I13" s="43"/>
      <c r="J13" s="43"/>
      <c r="K13" s="43"/>
      <c r="L13" s="43"/>
      <c r="M13" s="43"/>
      <c r="N13" s="43"/>
      <c r="O13" s="43"/>
      <c r="P13" s="43"/>
      <c r="Q13" s="43"/>
    </row>
    <row r="14" spans="2:17" ht="41.25" customHeight="1">
      <c r="B14" s="376" t="s">
        <v>536</v>
      </c>
      <c r="C14" s="376"/>
      <c r="D14" s="376"/>
      <c r="E14" s="376"/>
      <c r="F14" s="376"/>
      <c r="G14" s="43"/>
      <c r="H14" s="43"/>
      <c r="I14" s="43"/>
      <c r="J14" s="43"/>
      <c r="K14" s="43"/>
      <c r="L14" s="43"/>
      <c r="M14" s="43"/>
      <c r="N14" s="43"/>
      <c r="O14" s="43"/>
      <c r="P14" s="43"/>
      <c r="Q14" s="43"/>
    </row>
    <row r="15" spans="2:17" ht="14.25">
      <c r="B15" s="63"/>
      <c r="C15" s="63"/>
      <c r="D15" s="63"/>
      <c r="E15" s="63"/>
      <c r="F15" s="63"/>
      <c r="G15" s="43"/>
      <c r="H15" s="43"/>
      <c r="I15" s="43"/>
      <c r="J15" s="43"/>
      <c r="K15" s="43"/>
      <c r="L15" s="43"/>
      <c r="M15" s="43"/>
      <c r="N15" s="43"/>
      <c r="O15" s="43"/>
      <c r="P15" s="43"/>
      <c r="Q15" s="43"/>
    </row>
    <row r="16" spans="2:17" ht="14.45" customHeight="1">
      <c r="B16" s="43"/>
      <c r="C16" s="63"/>
      <c r="D16" s="63"/>
      <c r="E16" s="63"/>
      <c r="F16" s="63"/>
      <c r="G16" s="63"/>
      <c r="H16" s="63"/>
      <c r="I16" s="63"/>
      <c r="J16" s="43"/>
      <c r="K16" s="43"/>
      <c r="L16" s="43"/>
      <c r="M16" s="43"/>
      <c r="N16" s="43"/>
      <c r="O16" s="43"/>
      <c r="P16" s="43"/>
      <c r="Q16" s="43"/>
    </row>
    <row r="17" ht="14.25"/>
  </sheetData>
  <mergeCells count="7">
    <mergeCell ref="B1:E1"/>
    <mergeCell ref="B14:F14"/>
    <mergeCell ref="B12:E12"/>
    <mergeCell ref="B3:B4"/>
    <mergeCell ref="C3:E3"/>
    <mergeCell ref="F3:F4"/>
    <mergeCell ref="B13:F13"/>
  </mergeCells>
  <pageMargins left="0.511811024" right="0.511811024" top="0.78740157499999996" bottom="0.78740157499999996" header="0.31496062000000002" footer="0.31496062000000002"/>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F28F1-128B-42C6-90C1-0EEB55921D7F}">
  <sheetPr>
    <tabColor rgb="FF92D050"/>
  </sheetPr>
  <dimension ref="B2:N17"/>
  <sheetViews>
    <sheetView showGridLines="0" zoomScaleNormal="100" workbookViewId="0">
      <selection activeCell="N17" sqref="N17"/>
    </sheetView>
  </sheetViews>
  <sheetFormatPr defaultRowHeight="15" customHeight="1"/>
  <cols>
    <col min="1" max="1" width="1.85546875" style="43" customWidth="1"/>
    <col min="2" max="2" width="31.5703125" style="43" customWidth="1"/>
    <col min="3" max="3" width="9" style="43" customWidth="1"/>
    <col min="4" max="4" width="10.42578125" style="43" customWidth="1"/>
    <col min="5" max="5" width="13.5703125" style="43" customWidth="1"/>
    <col min="6" max="6" width="10.7109375" style="43" customWidth="1"/>
    <col min="7" max="16384" width="9.140625" style="43"/>
  </cols>
  <sheetData>
    <row r="2" spans="2:14" ht="26.25" customHeight="1">
      <c r="B2" s="364" t="s">
        <v>201</v>
      </c>
      <c r="C2" s="364"/>
      <c r="D2" s="364"/>
      <c r="E2" s="364"/>
      <c r="F2" s="130"/>
    </row>
    <row r="3" spans="2:14" ht="6.75" hidden="1" customHeight="1">
      <c r="B3" s="364"/>
      <c r="C3" s="364"/>
      <c r="D3" s="364"/>
      <c r="E3" s="364"/>
      <c r="F3" s="130"/>
      <c r="M3" s="43" t="s">
        <v>202</v>
      </c>
      <c r="N3" s="45">
        <v>3529450</v>
      </c>
    </row>
    <row r="4" spans="2:14" ht="23.25" customHeight="1">
      <c r="B4" s="372" t="s">
        <v>203</v>
      </c>
      <c r="C4" s="467" t="s">
        <v>115</v>
      </c>
      <c r="D4" s="468"/>
      <c r="E4" s="469"/>
      <c r="F4" s="470"/>
    </row>
    <row r="5" spans="2:14" ht="27" customHeight="1">
      <c r="B5" s="372"/>
      <c r="C5" s="108" t="s">
        <v>6</v>
      </c>
      <c r="D5" s="131" t="s">
        <v>7</v>
      </c>
      <c r="E5" s="131" t="s">
        <v>204</v>
      </c>
      <c r="F5" s="470"/>
    </row>
    <row r="6" spans="2:14" ht="14.25">
      <c r="B6" s="110" t="s">
        <v>8</v>
      </c>
      <c r="C6" s="132">
        <f>+C7+C12+C13</f>
        <v>2895034</v>
      </c>
      <c r="D6" s="111">
        <f t="shared" ref="D6:D13" si="0">C6/C$6*100</f>
        <v>100</v>
      </c>
      <c r="E6" s="111" t="s">
        <v>65</v>
      </c>
      <c r="F6" s="44"/>
    </row>
    <row r="7" spans="2:14" ht="18" customHeight="1">
      <c r="B7" s="133" t="s">
        <v>205</v>
      </c>
      <c r="C7" s="132">
        <f>SUM(C8:C11)</f>
        <v>1826760</v>
      </c>
      <c r="D7" s="111">
        <f t="shared" si="0"/>
        <v>63.099777066521497</v>
      </c>
      <c r="E7" s="113">
        <v>100</v>
      </c>
      <c r="F7" s="44"/>
    </row>
    <row r="8" spans="2:14" ht="18.75" customHeight="1">
      <c r="B8" s="114" t="s">
        <v>206</v>
      </c>
      <c r="C8" s="112">
        <v>1135394</v>
      </c>
      <c r="D8" s="113">
        <f t="shared" si="0"/>
        <v>39.218675842839836</v>
      </c>
      <c r="E8" s="113">
        <f>100*C8/C$7</f>
        <v>62.153430116709366</v>
      </c>
      <c r="F8" s="46"/>
    </row>
    <row r="9" spans="2:14" ht="18.75" customHeight="1">
      <c r="B9" s="114" t="s">
        <v>207</v>
      </c>
      <c r="C9" s="112">
        <v>413201</v>
      </c>
      <c r="D9" s="113">
        <f t="shared" si="0"/>
        <v>14.272751200849454</v>
      </c>
      <c r="E9" s="113">
        <f t="shared" ref="E9:E11" si="1">100*C9/C$7</f>
        <v>22.619336968184108</v>
      </c>
      <c r="F9" s="46"/>
    </row>
    <row r="10" spans="2:14" ht="18.75" customHeight="1">
      <c r="B10" s="114" t="s">
        <v>245</v>
      </c>
      <c r="C10" s="112">
        <v>246655</v>
      </c>
      <c r="D10" s="113">
        <f t="shared" si="0"/>
        <v>8.5199344809076507</v>
      </c>
      <c r="E10" s="113">
        <f t="shared" si="1"/>
        <v>13.502321049289453</v>
      </c>
      <c r="F10" s="46"/>
    </row>
    <row r="11" spans="2:14" ht="14.25">
      <c r="B11" s="114" t="s">
        <v>208</v>
      </c>
      <c r="C11" s="112">
        <v>31510</v>
      </c>
      <c r="D11" s="113">
        <f t="shared" si="0"/>
        <v>1.0884155419245507</v>
      </c>
      <c r="E11" s="113">
        <f t="shared" si="1"/>
        <v>1.724911865817075</v>
      </c>
      <c r="F11" s="46"/>
    </row>
    <row r="12" spans="2:14" ht="15.75" customHeight="1">
      <c r="B12" s="133" t="s">
        <v>209</v>
      </c>
      <c r="C12" s="132">
        <v>376987</v>
      </c>
      <c r="D12" s="111">
        <f t="shared" si="0"/>
        <v>13.021850520581104</v>
      </c>
      <c r="E12" s="111" t="s">
        <v>65</v>
      </c>
      <c r="F12" s="44"/>
    </row>
    <row r="13" spans="2:14" ht="17.25" customHeight="1">
      <c r="B13" s="133" t="s">
        <v>157</v>
      </c>
      <c r="C13" s="132">
        <v>691287</v>
      </c>
      <c r="D13" s="111">
        <f t="shared" si="0"/>
        <v>23.878372412897399</v>
      </c>
      <c r="E13" s="111" t="s">
        <v>65</v>
      </c>
      <c r="F13" s="44"/>
    </row>
    <row r="14" spans="2:14" ht="35.25" customHeight="1">
      <c r="B14" s="465" t="s">
        <v>547</v>
      </c>
      <c r="C14" s="465"/>
      <c r="D14" s="465"/>
      <c r="E14" s="465"/>
      <c r="F14" s="62"/>
    </row>
    <row r="15" spans="2:14" ht="54" customHeight="1">
      <c r="B15" s="471" t="s">
        <v>615</v>
      </c>
      <c r="C15" s="471"/>
      <c r="D15" s="471"/>
      <c r="E15" s="471"/>
      <c r="F15" s="309"/>
    </row>
    <row r="16" spans="2:14" ht="75" customHeight="1">
      <c r="B16" s="376" t="s">
        <v>537</v>
      </c>
      <c r="C16" s="376"/>
      <c r="D16" s="376"/>
      <c r="E16" s="376"/>
      <c r="F16" s="63"/>
      <c r="G16" s="63"/>
      <c r="H16" s="63"/>
    </row>
    <row r="17" ht="14.25"/>
  </sheetData>
  <mergeCells count="7">
    <mergeCell ref="F4:F5"/>
    <mergeCell ref="B15:E15"/>
    <mergeCell ref="B16:E16"/>
    <mergeCell ref="B2:E3"/>
    <mergeCell ref="B14:E14"/>
    <mergeCell ref="B4:B5"/>
    <mergeCell ref="C4:E4"/>
  </mergeCells>
  <pageMargins left="0.511811024" right="0.511811024" top="0.78740157499999996" bottom="0.78740157499999996" header="0.31496062000000002" footer="0.31496062000000002"/>
  <pageSetup paperSize="9" orientation="portrait" r:id="rId1"/>
  <ignoredErrors>
    <ignoredError sqref="C7"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5ADE2-E1BD-446E-92B2-76DCC6BA955B}">
  <sheetPr>
    <tabColor rgb="FF92D050"/>
  </sheetPr>
  <dimension ref="B1:V28"/>
  <sheetViews>
    <sheetView showGridLines="0" topLeftCell="B1" zoomScaleNormal="100" workbookViewId="0">
      <selection activeCell="F6" sqref="F6"/>
    </sheetView>
  </sheetViews>
  <sheetFormatPr defaultRowHeight="15" customHeight="1"/>
  <cols>
    <col min="1" max="1" width="1.85546875" style="43" customWidth="1"/>
    <col min="2" max="2" width="25.42578125" style="43" customWidth="1"/>
    <col min="3" max="3" width="9.28515625" style="43" bestFit="1" customWidth="1"/>
    <col min="4" max="4" width="8.5703125" style="43" customWidth="1"/>
    <col min="5" max="5" width="8.42578125" style="43" customWidth="1"/>
    <col min="6" max="6" width="10.42578125" style="43" customWidth="1"/>
    <col min="7" max="7" width="8.85546875" style="43" customWidth="1"/>
    <col min="8" max="8" width="5.5703125" style="43" bestFit="1" customWidth="1"/>
    <col min="9" max="9" width="8.5703125" style="43" customWidth="1"/>
    <col min="10" max="10" width="7" style="43" customWidth="1"/>
    <col min="11" max="11" width="12" style="43" customWidth="1"/>
    <col min="12" max="12" width="11.42578125" style="43" customWidth="1"/>
    <col min="13" max="13" width="8" style="43" customWidth="1"/>
    <col min="14" max="16384" width="9.140625" style="43"/>
  </cols>
  <sheetData>
    <row r="1" spans="2:13" ht="30" customHeight="1">
      <c r="B1" s="364" t="s">
        <v>225</v>
      </c>
      <c r="C1" s="364"/>
      <c r="D1" s="364"/>
      <c r="E1" s="364"/>
      <c r="F1" s="364"/>
      <c r="G1" s="364"/>
      <c r="H1" s="364"/>
      <c r="I1" s="364"/>
      <c r="J1" s="364"/>
      <c r="K1" s="364"/>
      <c r="L1" s="364"/>
      <c r="M1" s="364"/>
    </row>
    <row r="2" spans="2:13" ht="3" customHeight="1">
      <c r="B2" s="59"/>
      <c r="C2" s="59"/>
      <c r="D2" s="75"/>
      <c r="E2" s="75"/>
      <c r="F2" s="75"/>
      <c r="G2" s="75"/>
      <c r="H2" s="75"/>
      <c r="I2" s="75"/>
      <c r="J2" s="75"/>
      <c r="K2" s="75"/>
      <c r="L2" s="75"/>
      <c r="M2" s="75"/>
    </row>
    <row r="3" spans="2:13" ht="17.25" customHeight="1">
      <c r="B3" s="365" t="s">
        <v>226</v>
      </c>
      <c r="C3" s="367" t="s">
        <v>115</v>
      </c>
      <c r="D3" s="371" t="s">
        <v>227</v>
      </c>
      <c r="E3" s="430"/>
      <c r="F3" s="430"/>
      <c r="G3" s="430"/>
      <c r="H3" s="430"/>
      <c r="I3" s="430"/>
      <c r="J3" s="430"/>
      <c r="K3" s="430"/>
      <c r="L3" s="430"/>
      <c r="M3" s="430"/>
    </row>
    <row r="4" spans="2:13" ht="14.45" customHeight="1">
      <c r="B4" s="435"/>
      <c r="C4" s="473"/>
      <c r="D4" s="431" t="s">
        <v>228</v>
      </c>
      <c r="E4" s="431" t="s">
        <v>12</v>
      </c>
      <c r="F4" s="431" t="s">
        <v>21</v>
      </c>
      <c r="G4" s="431" t="s">
        <v>229</v>
      </c>
      <c r="H4" s="431" t="s">
        <v>25</v>
      </c>
      <c r="I4" s="431"/>
      <c r="J4" s="431"/>
      <c r="K4" s="431"/>
      <c r="L4" s="431"/>
      <c r="M4" s="371"/>
    </row>
    <row r="5" spans="2:13" ht="105.75" customHeight="1">
      <c r="B5" s="435"/>
      <c r="C5" s="473"/>
      <c r="D5" s="431"/>
      <c r="E5" s="431"/>
      <c r="F5" s="431"/>
      <c r="G5" s="431"/>
      <c r="H5" s="165" t="s">
        <v>8</v>
      </c>
      <c r="I5" s="87" t="s">
        <v>230</v>
      </c>
      <c r="J5" s="87" t="s">
        <v>231</v>
      </c>
      <c r="K5" s="87" t="s">
        <v>232</v>
      </c>
      <c r="L5" s="87" t="s">
        <v>233</v>
      </c>
      <c r="M5" s="107" t="s">
        <v>35</v>
      </c>
    </row>
    <row r="6" spans="2:13" ht="14.45" customHeight="1">
      <c r="B6" s="366"/>
      <c r="C6" s="368"/>
      <c r="D6" s="87" t="s">
        <v>11</v>
      </c>
      <c r="E6" s="87" t="s">
        <v>13</v>
      </c>
      <c r="F6" s="87" t="s">
        <v>22</v>
      </c>
      <c r="G6" s="87" t="s">
        <v>24</v>
      </c>
      <c r="H6" s="165" t="s">
        <v>26</v>
      </c>
      <c r="I6" s="87" t="s">
        <v>28</v>
      </c>
      <c r="J6" s="87" t="s">
        <v>30</v>
      </c>
      <c r="K6" s="87" t="s">
        <v>32</v>
      </c>
      <c r="L6" s="87" t="s">
        <v>34</v>
      </c>
      <c r="M6" s="107" t="s">
        <v>36</v>
      </c>
    </row>
    <row r="7" spans="2:13" ht="14.25" customHeight="1">
      <c r="B7" s="119" t="s">
        <v>8</v>
      </c>
      <c r="C7" s="228">
        <v>2203747</v>
      </c>
      <c r="D7" s="229">
        <v>0.6068754716398933</v>
      </c>
      <c r="E7" s="229">
        <v>10.041488428571881</v>
      </c>
      <c r="F7" s="229">
        <v>8.8194334467613569</v>
      </c>
      <c r="G7" s="229">
        <v>26.066422325248766</v>
      </c>
      <c r="H7" s="229">
        <v>54.465780327778099</v>
      </c>
      <c r="I7" s="229">
        <v>10.274636789068801</v>
      </c>
      <c r="J7" s="229">
        <v>11.558495598632692</v>
      </c>
      <c r="K7" s="229">
        <v>15.511762466381123</v>
      </c>
      <c r="L7" s="229">
        <v>6.1578756545102502</v>
      </c>
      <c r="M7" s="229">
        <v>10.963009819185233</v>
      </c>
    </row>
    <row r="8" spans="2:13" ht="13.5" customHeight="1">
      <c r="B8" s="159" t="s">
        <v>210</v>
      </c>
      <c r="C8" s="231">
        <v>154342</v>
      </c>
      <c r="D8" s="232">
        <v>0.30711018387736327</v>
      </c>
      <c r="E8" s="232">
        <v>7.9602441331588292</v>
      </c>
      <c r="F8" s="232">
        <v>2.8961656580839952</v>
      </c>
      <c r="G8" s="232">
        <v>35.589146181855881</v>
      </c>
      <c r="H8" s="229">
        <v>53.247333843023938</v>
      </c>
      <c r="I8" s="232">
        <v>5.8908139067784537</v>
      </c>
      <c r="J8" s="232">
        <v>12.126316880693524</v>
      </c>
      <c r="K8" s="232">
        <v>18.530924829275246</v>
      </c>
      <c r="L8" s="232">
        <v>3.5401899677339936</v>
      </c>
      <c r="M8" s="232">
        <v>13.159088258542717</v>
      </c>
    </row>
    <row r="9" spans="2:13" ht="10.5" customHeight="1">
      <c r="B9" s="230" t="s">
        <v>211</v>
      </c>
      <c r="C9" s="231">
        <v>111125</v>
      </c>
      <c r="D9" s="232">
        <v>0.37345331833520806</v>
      </c>
      <c r="E9" s="232">
        <v>9.1905511811023626</v>
      </c>
      <c r="F9" s="232">
        <v>2.875140607424072</v>
      </c>
      <c r="G9" s="232">
        <v>29.70888638920135</v>
      </c>
      <c r="H9" s="229">
        <v>57.851968503937016</v>
      </c>
      <c r="I9" s="232">
        <v>6.4404949381327334</v>
      </c>
      <c r="J9" s="232">
        <v>10.807649043869516</v>
      </c>
      <c r="K9" s="232">
        <v>22.562879640044994</v>
      </c>
      <c r="L9" s="232">
        <v>5.7412823397075368</v>
      </c>
      <c r="M9" s="232">
        <v>12.299662542182228</v>
      </c>
    </row>
    <row r="10" spans="2:13" ht="10.5" customHeight="1">
      <c r="B10" s="230" t="s">
        <v>212</v>
      </c>
      <c r="C10" s="231">
        <v>99530</v>
      </c>
      <c r="D10" s="232">
        <v>0.41394554405706824</v>
      </c>
      <c r="E10" s="232">
        <v>8.6255400381794445</v>
      </c>
      <c r="F10" s="232">
        <v>2.6082588164372549</v>
      </c>
      <c r="G10" s="232">
        <v>28.991258916909473</v>
      </c>
      <c r="H10" s="229">
        <v>59.360996684416754</v>
      </c>
      <c r="I10" s="232">
        <v>6.0243142771023814</v>
      </c>
      <c r="J10" s="232">
        <v>9.9226363910378783</v>
      </c>
      <c r="K10" s="232">
        <v>26.89239425298905</v>
      </c>
      <c r="L10" s="232">
        <v>6.5517934291168496</v>
      </c>
      <c r="M10" s="232">
        <v>9.9698583341706026</v>
      </c>
    </row>
    <row r="11" spans="2:13" ht="10.5" customHeight="1">
      <c r="B11" s="230" t="s">
        <v>213</v>
      </c>
      <c r="C11" s="231">
        <v>56025</v>
      </c>
      <c r="D11" s="232">
        <v>0.56403391343150378</v>
      </c>
      <c r="E11" s="232">
        <v>9.399375278893352</v>
      </c>
      <c r="F11" s="232">
        <v>6.3203926818384648</v>
      </c>
      <c r="G11" s="232">
        <v>24.53190539937528</v>
      </c>
      <c r="H11" s="229">
        <v>59.184292726461393</v>
      </c>
      <c r="I11" s="232">
        <v>5.752788933511825</v>
      </c>
      <c r="J11" s="232">
        <v>18.713074520303437</v>
      </c>
      <c r="K11" s="232">
        <v>6.2811244979919678</v>
      </c>
      <c r="L11" s="232">
        <v>5.0013386880856761</v>
      </c>
      <c r="M11" s="232">
        <v>23.435966086568495</v>
      </c>
    </row>
    <row r="12" spans="2:13" ht="10.5" customHeight="1">
      <c r="B12" s="230" t="s">
        <v>214</v>
      </c>
      <c r="C12" s="231">
        <v>50053</v>
      </c>
      <c r="D12" s="232">
        <v>0.25772680958184324</v>
      </c>
      <c r="E12" s="232">
        <v>9.5458813657523027</v>
      </c>
      <c r="F12" s="232">
        <v>1.7821109623798774</v>
      </c>
      <c r="G12" s="232">
        <v>33.204802908916548</v>
      </c>
      <c r="H12" s="229">
        <v>55.209477953369422</v>
      </c>
      <c r="I12" s="232">
        <v>4.9127924400135861</v>
      </c>
      <c r="J12" s="232">
        <v>17.964957145425849</v>
      </c>
      <c r="K12" s="232">
        <v>11.060276107326235</v>
      </c>
      <c r="L12" s="232">
        <v>4.1016522486164666</v>
      </c>
      <c r="M12" s="232">
        <v>17.169800011987295</v>
      </c>
    </row>
    <row r="13" spans="2:13" ht="25.5" customHeight="1">
      <c r="B13" s="159" t="s">
        <v>215</v>
      </c>
      <c r="C13" s="231">
        <v>48142</v>
      </c>
      <c r="D13" s="232">
        <v>0.87241909351501812</v>
      </c>
      <c r="E13" s="232">
        <v>11.559552989073991</v>
      </c>
      <c r="F13" s="232">
        <v>11.650949275061278</v>
      </c>
      <c r="G13" s="232">
        <v>25.788292966640359</v>
      </c>
      <c r="H13" s="229">
        <v>50.128785675709366</v>
      </c>
      <c r="I13" s="232">
        <v>13.593120352291137</v>
      </c>
      <c r="J13" s="232">
        <v>12.71239250550455</v>
      </c>
      <c r="K13" s="232">
        <v>8.6078683893481784</v>
      </c>
      <c r="L13" s="232">
        <v>2.5694819492335177</v>
      </c>
      <c r="M13" s="232">
        <v>12.645922479331976</v>
      </c>
    </row>
    <row r="14" spans="2:13" ht="16.5" customHeight="1">
      <c r="B14" s="230" t="s">
        <v>216</v>
      </c>
      <c r="C14" s="231">
        <v>37587</v>
      </c>
      <c r="D14" s="232">
        <v>0.29797536382259826</v>
      </c>
      <c r="E14" s="232">
        <v>9.4314523638492034</v>
      </c>
      <c r="F14" s="232">
        <v>1.8809694841301512</v>
      </c>
      <c r="G14" s="232">
        <v>29.502221512757071</v>
      </c>
      <c r="H14" s="229">
        <v>58.887381275440973</v>
      </c>
      <c r="I14" s="232">
        <v>4.4217415595817702</v>
      </c>
      <c r="J14" s="232">
        <v>12.530928246468193</v>
      </c>
      <c r="K14" s="232">
        <v>19.195466517678987</v>
      </c>
      <c r="L14" s="232">
        <v>5.7200627876659489</v>
      </c>
      <c r="M14" s="232">
        <v>17.019182164046079</v>
      </c>
    </row>
    <row r="15" spans="2:13" ht="10.5" customHeight="1">
      <c r="B15" s="230" t="s">
        <v>217</v>
      </c>
      <c r="C15" s="231">
        <v>36676</v>
      </c>
      <c r="D15" s="232">
        <v>0.62711309848402219</v>
      </c>
      <c r="E15" s="232">
        <v>4.1443996073726685</v>
      </c>
      <c r="F15" s="232">
        <v>76.7259243101756</v>
      </c>
      <c r="G15" s="232">
        <v>9.3903370051259678</v>
      </c>
      <c r="H15" s="229">
        <v>9.1122259788417495</v>
      </c>
      <c r="I15" s="232">
        <v>2.2248882102737486</v>
      </c>
      <c r="J15" s="232">
        <v>4.133493292616425</v>
      </c>
      <c r="K15" s="232">
        <v>1.4314538117570073</v>
      </c>
      <c r="L15" s="232">
        <v>0.19086050823426765</v>
      </c>
      <c r="M15" s="232">
        <v>1.131530155960301</v>
      </c>
    </row>
    <row r="16" spans="2:13" ht="10.5" customHeight="1">
      <c r="B16" s="230" t="s">
        <v>218</v>
      </c>
      <c r="C16" s="231">
        <v>36593</v>
      </c>
      <c r="D16" s="232">
        <v>1.508485229415462</v>
      </c>
      <c r="E16" s="232">
        <v>8.695652173913043</v>
      </c>
      <c r="F16" s="232">
        <v>35.758205121198046</v>
      </c>
      <c r="G16" s="232">
        <v>21.894897931298335</v>
      </c>
      <c r="H16" s="229">
        <v>32.142759544175114</v>
      </c>
      <c r="I16" s="232">
        <v>9.4471620255240065</v>
      </c>
      <c r="J16" s="232">
        <v>10.152214904489929</v>
      </c>
      <c r="K16" s="232">
        <v>5.5065176399857894</v>
      </c>
      <c r="L16" s="232">
        <v>0.88814800644932079</v>
      </c>
      <c r="M16" s="232">
        <v>6.1487169677260676</v>
      </c>
    </row>
    <row r="17" spans="2:22" ht="27.75" customHeight="1">
      <c r="B17" s="151" t="s">
        <v>219</v>
      </c>
      <c r="C17" s="231">
        <v>33804</v>
      </c>
      <c r="D17" s="232">
        <v>0.9614246834694119</v>
      </c>
      <c r="E17" s="232">
        <v>5.0053248136315229</v>
      </c>
      <c r="F17" s="232">
        <v>6.3069459235593417</v>
      </c>
      <c r="G17" s="232">
        <v>20.355579221393917</v>
      </c>
      <c r="H17" s="229">
        <v>67.370725357945801</v>
      </c>
      <c r="I17" s="232">
        <v>53.600165660868541</v>
      </c>
      <c r="J17" s="232">
        <v>7.158916104603005</v>
      </c>
      <c r="K17" s="232">
        <v>4.088273577091468</v>
      </c>
      <c r="L17" s="232">
        <v>0.39048633297834578</v>
      </c>
      <c r="M17" s="232">
        <v>2.1328836824044495</v>
      </c>
    </row>
    <row r="18" spans="2:22" ht="10.5" customHeight="1">
      <c r="B18" s="230" t="s">
        <v>220</v>
      </c>
      <c r="C18" s="231">
        <v>29707</v>
      </c>
      <c r="D18" s="232">
        <v>0.28276163867102033</v>
      </c>
      <c r="E18" s="232">
        <v>8.4592856902413569</v>
      </c>
      <c r="F18" s="232">
        <v>3.2147305348907667</v>
      </c>
      <c r="G18" s="232">
        <v>24.93015114282829</v>
      </c>
      <c r="H18" s="229">
        <v>63.113070993368567</v>
      </c>
      <c r="I18" s="232">
        <v>7.4056619651933886</v>
      </c>
      <c r="J18" s="232">
        <v>26.370889016056822</v>
      </c>
      <c r="K18" s="232">
        <v>9.5398390951627565</v>
      </c>
      <c r="L18" s="232">
        <v>3.8071834921062377</v>
      </c>
      <c r="M18" s="232">
        <v>15.989497424849361</v>
      </c>
    </row>
    <row r="19" spans="2:22" ht="29.25" customHeight="1">
      <c r="B19" s="159" t="s">
        <v>221</v>
      </c>
      <c r="C19" s="231">
        <v>29256</v>
      </c>
      <c r="D19" s="232">
        <v>0.24610336341263331</v>
      </c>
      <c r="E19" s="232">
        <v>8.9383374350560576</v>
      </c>
      <c r="F19" s="232">
        <v>1.647525293956795</v>
      </c>
      <c r="G19" s="232">
        <v>24.760732841126607</v>
      </c>
      <c r="H19" s="229">
        <v>64.407301066447914</v>
      </c>
      <c r="I19" s="232">
        <v>6.2585452556740497</v>
      </c>
      <c r="J19" s="232">
        <v>14.154361498496035</v>
      </c>
      <c r="K19" s="232">
        <v>22.234755263877496</v>
      </c>
      <c r="L19" s="232">
        <v>6.7336614711512173</v>
      </c>
      <c r="M19" s="232">
        <v>15.025977577249112</v>
      </c>
    </row>
    <row r="20" spans="2:22" ht="10.5" customHeight="1">
      <c r="B20" s="230" t="s">
        <v>222</v>
      </c>
      <c r="C20" s="231">
        <v>26244</v>
      </c>
      <c r="D20" s="232">
        <v>0.52964487120865722</v>
      </c>
      <c r="E20" s="232">
        <v>7.4493217497332713</v>
      </c>
      <c r="F20" s="232">
        <v>6.7786922725194332</v>
      </c>
      <c r="G20" s="232">
        <v>29.728699893308946</v>
      </c>
      <c r="H20" s="229">
        <v>55.51364121322969</v>
      </c>
      <c r="I20" s="232">
        <v>13.462124676116446</v>
      </c>
      <c r="J20" s="232">
        <v>15.058680079256211</v>
      </c>
      <c r="K20" s="232">
        <v>12.010364273738759</v>
      </c>
      <c r="L20" s="232">
        <v>2.880658436213992</v>
      </c>
      <c r="M20" s="232">
        <v>12.101813747904282</v>
      </c>
    </row>
    <row r="21" spans="2:22" ht="10.5" customHeight="1">
      <c r="B21" s="230" t="s">
        <v>223</v>
      </c>
      <c r="C21" s="231">
        <v>25784</v>
      </c>
      <c r="D21" s="232">
        <v>0.29863481228668942</v>
      </c>
      <c r="E21" s="232">
        <v>9.5330437480608126</v>
      </c>
      <c r="F21" s="232">
        <v>2.4356189885200124</v>
      </c>
      <c r="G21" s="232">
        <v>18.526993484331371</v>
      </c>
      <c r="H21" s="229">
        <v>69.205708966801112</v>
      </c>
      <c r="I21" s="232">
        <v>4.0722928948184922</v>
      </c>
      <c r="J21" s="232">
        <v>44.857275829972075</v>
      </c>
      <c r="K21" s="232">
        <v>4.4368600682593859</v>
      </c>
      <c r="L21" s="232">
        <v>3.4013341607198257</v>
      </c>
      <c r="M21" s="232">
        <v>12.437946013031336</v>
      </c>
    </row>
    <row r="22" spans="2:22" ht="13.5" customHeight="1">
      <c r="B22" s="230" t="s">
        <v>224</v>
      </c>
      <c r="C22" s="231">
        <v>22784</v>
      </c>
      <c r="D22" s="232">
        <v>0.24139747191011235</v>
      </c>
      <c r="E22" s="232">
        <v>8.4620786516853936</v>
      </c>
      <c r="F22" s="232">
        <v>3.12938904494382</v>
      </c>
      <c r="G22" s="232">
        <v>31.83374297752809</v>
      </c>
      <c r="H22" s="229">
        <v>56.333391853932582</v>
      </c>
      <c r="I22" s="232">
        <v>7.80372191011236</v>
      </c>
      <c r="J22" s="232">
        <v>18.460323033707866</v>
      </c>
      <c r="K22" s="232">
        <v>12.341994382022472</v>
      </c>
      <c r="L22" s="232">
        <v>3.6077949438202248</v>
      </c>
      <c r="M22" s="232">
        <v>14.119557584269662</v>
      </c>
    </row>
    <row r="23" spans="2:22" ht="10.5" customHeight="1">
      <c r="B23" s="230" t="s">
        <v>59</v>
      </c>
      <c r="C23" s="231">
        <v>1385610</v>
      </c>
      <c r="D23" s="232">
        <v>0.68330915625608946</v>
      </c>
      <c r="E23" s="232">
        <v>10.919522809448546</v>
      </c>
      <c r="F23" s="232">
        <v>8.9339713194910555</v>
      </c>
      <c r="G23" s="232">
        <v>24.970157547939177</v>
      </c>
      <c r="H23" s="229">
        <v>54.493039166865131</v>
      </c>
      <c r="I23" s="232">
        <v>11.163603034042769</v>
      </c>
      <c r="J23" s="232">
        <v>10.287598963633346</v>
      </c>
      <c r="K23" s="232">
        <v>15.62835141201348</v>
      </c>
      <c r="L23" s="232">
        <v>7.3461507927916223</v>
      </c>
      <c r="M23" s="232">
        <v>10.067334964383917</v>
      </c>
    </row>
    <row r="24" spans="2:22" ht="10.5" customHeight="1">
      <c r="B24" s="225" t="s">
        <v>234</v>
      </c>
      <c r="C24" s="233">
        <v>20485</v>
      </c>
      <c r="D24" s="234">
        <v>0.45887234561874546</v>
      </c>
      <c r="E24" s="234">
        <v>9.2067366365633401</v>
      </c>
      <c r="F24" s="234">
        <v>8.0253844276299731</v>
      </c>
      <c r="G24" s="234">
        <v>24.232365145228215</v>
      </c>
      <c r="H24" s="235">
        <v>58.076641444959733</v>
      </c>
      <c r="I24" s="234">
        <v>13.795460092750794</v>
      </c>
      <c r="J24" s="234">
        <v>9.3531852575054923</v>
      </c>
      <c r="K24" s="234">
        <v>19.863314620453991</v>
      </c>
      <c r="L24" s="234">
        <v>5.9799853551379059</v>
      </c>
      <c r="M24" s="234">
        <v>9.0846961191115447</v>
      </c>
      <c r="N24" s="84"/>
      <c r="O24" s="84"/>
      <c r="P24" s="84"/>
      <c r="Q24" s="84"/>
      <c r="R24" s="84"/>
      <c r="S24" s="84"/>
      <c r="T24" s="84"/>
      <c r="U24" s="84"/>
      <c r="V24" s="84"/>
    </row>
    <row r="25" spans="2:22" ht="23.25" customHeight="1">
      <c r="B25" s="472" t="s">
        <v>547</v>
      </c>
      <c r="C25" s="472"/>
      <c r="D25" s="472"/>
      <c r="E25" s="472"/>
      <c r="F25" s="472"/>
      <c r="G25" s="472"/>
      <c r="H25" s="472"/>
      <c r="I25" s="472"/>
      <c r="J25" s="472"/>
      <c r="K25" s="472"/>
      <c r="L25" s="472"/>
      <c r="M25" s="472"/>
    </row>
    <row r="26" spans="2:22" ht="26.25" customHeight="1">
      <c r="B26" s="424" t="s">
        <v>556</v>
      </c>
      <c r="C26" s="424"/>
      <c r="D26" s="424"/>
      <c r="E26" s="424"/>
      <c r="F26" s="424"/>
      <c r="G26" s="424"/>
      <c r="H26" s="424"/>
      <c r="I26" s="424"/>
      <c r="J26" s="424"/>
      <c r="K26" s="424"/>
      <c r="L26" s="424"/>
      <c r="M26" s="424"/>
    </row>
    <row r="27" spans="2:22" ht="31.5" customHeight="1">
      <c r="B27" s="424" t="s">
        <v>557</v>
      </c>
      <c r="C27" s="424"/>
      <c r="D27" s="424"/>
      <c r="E27" s="424"/>
      <c r="F27" s="424"/>
      <c r="G27" s="424"/>
      <c r="H27" s="424"/>
      <c r="I27" s="424"/>
      <c r="J27" s="424"/>
      <c r="K27" s="424"/>
      <c r="L27" s="424"/>
      <c r="M27" s="424"/>
    </row>
    <row r="28" spans="2:22" ht="30.75" customHeight="1">
      <c r="B28" s="420"/>
      <c r="C28" s="420"/>
      <c r="D28" s="420"/>
      <c r="E28" s="420"/>
      <c r="F28" s="420"/>
      <c r="G28" s="420"/>
      <c r="H28" s="420"/>
      <c r="I28" s="420"/>
      <c r="J28" s="420"/>
      <c r="K28" s="420"/>
      <c r="L28" s="420"/>
      <c r="M28" s="420"/>
    </row>
  </sheetData>
  <mergeCells count="13">
    <mergeCell ref="B26:M26"/>
    <mergeCell ref="B27:M27"/>
    <mergeCell ref="B28:M28"/>
    <mergeCell ref="B25:M25"/>
    <mergeCell ref="B1:M1"/>
    <mergeCell ref="B3:B6"/>
    <mergeCell ref="C3:C6"/>
    <mergeCell ref="D3:M3"/>
    <mergeCell ref="D4:D5"/>
    <mergeCell ref="E4:E5"/>
    <mergeCell ref="F4:F5"/>
    <mergeCell ref="G4:G5"/>
    <mergeCell ref="H4:M4"/>
  </mergeCells>
  <pageMargins left="0.511811024" right="0.511811024" top="0.78740157499999996" bottom="0.78740157499999996" header="0.31496062000000002" footer="0.31496062000000002"/>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A28F3-9225-40DC-AD9D-A94FE0B2E1B1}">
  <sheetPr>
    <tabColor rgb="FF92D050"/>
  </sheetPr>
  <dimension ref="B1:I26"/>
  <sheetViews>
    <sheetView showGridLines="0" zoomScaleNormal="100" workbookViewId="0">
      <selection activeCell="J2" sqref="J2"/>
    </sheetView>
  </sheetViews>
  <sheetFormatPr defaultRowHeight="15" customHeight="1"/>
  <cols>
    <col min="1" max="1" width="1.85546875" style="43" customWidth="1"/>
    <col min="2" max="2" width="7.85546875" style="43" customWidth="1"/>
    <col min="3" max="3" width="48.42578125" style="43" customWidth="1"/>
    <col min="4" max="4" width="9.42578125" style="43" customWidth="1"/>
    <col min="5" max="5" width="9.85546875" style="43" customWidth="1"/>
    <col min="6" max="6" width="8.28515625" style="43" customWidth="1"/>
    <col min="7" max="7" width="10.140625" style="43" customWidth="1"/>
    <col min="8" max="8" width="11.28515625" style="43" customWidth="1"/>
    <col min="9" max="16384" width="9.140625" style="43"/>
  </cols>
  <sheetData>
    <row r="1" spans="2:9" ht="30.75" customHeight="1">
      <c r="B1" s="364" t="s">
        <v>235</v>
      </c>
      <c r="C1" s="364"/>
      <c r="D1" s="364"/>
      <c r="E1" s="364"/>
      <c r="F1" s="364"/>
      <c r="G1" s="364"/>
      <c r="H1" s="364"/>
    </row>
    <row r="2" spans="2:9" ht="30" customHeight="1">
      <c r="B2" s="427" t="s">
        <v>236</v>
      </c>
      <c r="C2" s="365"/>
      <c r="D2" s="369" t="s">
        <v>8</v>
      </c>
      <c r="E2" s="370"/>
      <c r="F2" s="371" t="s">
        <v>237</v>
      </c>
      <c r="G2" s="430"/>
      <c r="H2" s="430"/>
      <c r="I2" s="75"/>
    </row>
    <row r="3" spans="2:9" ht="32.25" customHeight="1">
      <c r="B3" s="429"/>
      <c r="C3" s="366"/>
      <c r="D3" s="87" t="s">
        <v>6</v>
      </c>
      <c r="E3" s="87" t="s">
        <v>238</v>
      </c>
      <c r="F3" s="87" t="s">
        <v>6</v>
      </c>
      <c r="G3" s="87" t="s">
        <v>238</v>
      </c>
      <c r="H3" s="107" t="s">
        <v>239</v>
      </c>
      <c r="I3" s="75"/>
    </row>
    <row r="4" spans="2:9" ht="14.25">
      <c r="B4" s="136" t="s">
        <v>517</v>
      </c>
      <c r="C4" s="89" t="s">
        <v>8</v>
      </c>
      <c r="D4" s="90">
        <f>SUM(D5:D20)</f>
        <v>2203747</v>
      </c>
      <c r="E4" s="91">
        <f t="shared" ref="E4:E19" si="0">D4/$D$4*100</f>
        <v>100</v>
      </c>
      <c r="F4" s="90">
        <f>SUM(F5:F20)</f>
        <v>314376</v>
      </c>
      <c r="G4" s="91">
        <f t="shared" ref="G4:G16" si="1">F4/$F$4*100</f>
        <v>100</v>
      </c>
      <c r="H4" s="91">
        <f t="shared" ref="H4:H17" si="2">F4/D4*100</f>
        <v>14.265521405134074</v>
      </c>
      <c r="I4" s="75"/>
    </row>
    <row r="5" spans="2:9" ht="12" customHeight="1">
      <c r="B5" s="337">
        <v>47814</v>
      </c>
      <c r="C5" s="338" t="s">
        <v>45</v>
      </c>
      <c r="D5" s="92">
        <v>138232</v>
      </c>
      <c r="E5" s="91">
        <f t="shared" si="0"/>
        <v>6.2725893671097461</v>
      </c>
      <c r="F5" s="92">
        <v>21687</v>
      </c>
      <c r="G5" s="93">
        <f t="shared" si="1"/>
        <v>6.8984273608672417</v>
      </c>
      <c r="H5" s="93">
        <f t="shared" si="2"/>
        <v>15.688841946871927</v>
      </c>
      <c r="I5" s="75"/>
    </row>
    <row r="6" spans="2:9" ht="22.5" customHeight="1">
      <c r="B6" s="337">
        <v>56112</v>
      </c>
      <c r="C6" s="338" t="s">
        <v>46</v>
      </c>
      <c r="D6" s="92">
        <v>134354</v>
      </c>
      <c r="E6" s="93">
        <f t="shared" si="0"/>
        <v>6.0966163538736522</v>
      </c>
      <c r="F6" s="92">
        <v>27986</v>
      </c>
      <c r="G6" s="93">
        <f t="shared" si="1"/>
        <v>8.9020790391124009</v>
      </c>
      <c r="H6" s="93">
        <f t="shared" si="2"/>
        <v>20.830045997886181</v>
      </c>
      <c r="I6" s="75"/>
    </row>
    <row r="7" spans="2:9" ht="12" customHeight="1">
      <c r="B7" s="337">
        <v>73190</v>
      </c>
      <c r="C7" s="338" t="s">
        <v>48</v>
      </c>
      <c r="D7" s="92">
        <v>128119</v>
      </c>
      <c r="E7" s="93">
        <f t="shared" si="0"/>
        <v>5.813689139452034</v>
      </c>
      <c r="F7" s="92">
        <v>8401</v>
      </c>
      <c r="G7" s="93">
        <f t="shared" si="1"/>
        <v>2.6722777820189836</v>
      </c>
      <c r="H7" s="93">
        <f t="shared" si="2"/>
        <v>6.5571851169615751</v>
      </c>
      <c r="I7" s="75"/>
    </row>
    <row r="8" spans="2:9" ht="12" customHeight="1">
      <c r="B8" s="337">
        <v>96025</v>
      </c>
      <c r="C8" s="338" t="s">
        <v>44</v>
      </c>
      <c r="D8" s="92">
        <v>124025</v>
      </c>
      <c r="E8" s="93">
        <f t="shared" si="0"/>
        <v>5.6279146381140848</v>
      </c>
      <c r="F8" s="92">
        <v>23573</v>
      </c>
      <c r="G8" s="93">
        <f t="shared" si="1"/>
        <v>7.4983459297147368</v>
      </c>
      <c r="H8" s="93">
        <f t="shared" si="2"/>
        <v>19.006651884700666</v>
      </c>
      <c r="I8" s="75"/>
    </row>
    <row r="9" spans="2:9" ht="25.5" customHeight="1">
      <c r="B9" s="337">
        <v>43991</v>
      </c>
      <c r="C9" s="338" t="s">
        <v>47</v>
      </c>
      <c r="D9" s="92">
        <v>96641</v>
      </c>
      <c r="E9" s="93">
        <f t="shared" si="0"/>
        <v>4.3853037576455014</v>
      </c>
      <c r="F9" s="92">
        <v>17959</v>
      </c>
      <c r="G9" s="93">
        <f t="shared" si="1"/>
        <v>5.7125862025090974</v>
      </c>
      <c r="H9" s="93">
        <f t="shared" si="2"/>
        <v>18.583210024730704</v>
      </c>
      <c r="I9" s="75"/>
    </row>
    <row r="10" spans="2:9" ht="12" customHeight="1">
      <c r="B10" s="337">
        <v>85996</v>
      </c>
      <c r="C10" s="338" t="s">
        <v>51</v>
      </c>
      <c r="D10" s="92">
        <v>95147</v>
      </c>
      <c r="E10" s="93">
        <f t="shared" si="0"/>
        <v>4.3175101316076665</v>
      </c>
      <c r="F10" s="92">
        <v>7709</v>
      </c>
      <c r="G10" s="93">
        <f t="shared" si="1"/>
        <v>2.4521591979031481</v>
      </c>
      <c r="H10" s="93">
        <f t="shared" si="2"/>
        <v>8.1021997540647632</v>
      </c>
      <c r="I10" s="75"/>
    </row>
    <row r="11" spans="2:9" ht="24" customHeight="1">
      <c r="B11" s="337">
        <v>56201</v>
      </c>
      <c r="C11" s="338" t="s">
        <v>49</v>
      </c>
      <c r="D11" s="92">
        <v>87595</v>
      </c>
      <c r="E11" s="93">
        <f t="shared" si="0"/>
        <v>3.9748210661205667</v>
      </c>
      <c r="F11" s="92">
        <v>9623</v>
      </c>
      <c r="G11" s="93">
        <f t="shared" si="1"/>
        <v>3.0609842990559075</v>
      </c>
      <c r="H11" s="93">
        <f t="shared" si="2"/>
        <v>10.985786859980593</v>
      </c>
      <c r="I11" s="75"/>
    </row>
    <row r="12" spans="2:9" ht="29.25" customHeight="1">
      <c r="B12" s="337">
        <v>82199</v>
      </c>
      <c r="C12" s="338" t="s">
        <v>58</v>
      </c>
      <c r="D12" s="92">
        <v>81749</v>
      </c>
      <c r="E12" s="93">
        <f t="shared" si="0"/>
        <v>3.7095456057342338</v>
      </c>
      <c r="F12" s="92">
        <v>4597</v>
      </c>
      <c r="G12" s="93">
        <f t="shared" si="1"/>
        <v>1.4622617502608342</v>
      </c>
      <c r="H12" s="93">
        <f t="shared" si="2"/>
        <v>5.6233103768853443</v>
      </c>
      <c r="I12" s="75"/>
    </row>
    <row r="13" spans="2:9" ht="12" customHeight="1">
      <c r="B13" s="337">
        <v>49302</v>
      </c>
      <c r="C13" s="338" t="s">
        <v>52</v>
      </c>
      <c r="D13" s="92">
        <v>77595</v>
      </c>
      <c r="E13" s="93">
        <f t="shared" si="0"/>
        <v>3.5210484688124364</v>
      </c>
      <c r="F13" s="92">
        <v>15496</v>
      </c>
      <c r="G13" s="93">
        <f t="shared" si="1"/>
        <v>4.9291294500852487</v>
      </c>
      <c r="H13" s="93">
        <f t="shared" si="2"/>
        <v>19.970358914878535</v>
      </c>
      <c r="I13" s="75"/>
    </row>
    <row r="14" spans="2:9" ht="12" customHeight="1">
      <c r="B14" s="337">
        <v>53202</v>
      </c>
      <c r="C14" s="338" t="s">
        <v>240</v>
      </c>
      <c r="D14" s="92">
        <v>58559</v>
      </c>
      <c r="E14" s="93">
        <f t="shared" si="0"/>
        <v>2.6572469525766795</v>
      </c>
      <c r="F14" s="92">
        <v>3575</v>
      </c>
      <c r="G14" s="93">
        <f t="shared" si="1"/>
        <v>1.1371733211186605</v>
      </c>
      <c r="H14" s="93">
        <f t="shared" si="2"/>
        <v>6.1049539780392426</v>
      </c>
      <c r="I14" s="75"/>
    </row>
    <row r="15" spans="2:9" ht="12" customHeight="1">
      <c r="B15" s="337">
        <v>45200</v>
      </c>
      <c r="C15" s="338" t="s">
        <v>50</v>
      </c>
      <c r="D15" s="92">
        <v>58189</v>
      </c>
      <c r="E15" s="93">
        <f t="shared" si="0"/>
        <v>2.6404573664762787</v>
      </c>
      <c r="F15" s="92">
        <v>13859</v>
      </c>
      <c r="G15" s="93">
        <f t="shared" si="1"/>
        <v>4.4084154006667173</v>
      </c>
      <c r="H15" s="93">
        <f t="shared" si="2"/>
        <v>23.817216312361442</v>
      </c>
      <c r="I15" s="75"/>
    </row>
    <row r="16" spans="2:9" ht="24">
      <c r="B16" s="337">
        <v>52290</v>
      </c>
      <c r="C16" s="338" t="s">
        <v>241</v>
      </c>
      <c r="D16" s="92">
        <v>52044</v>
      </c>
      <c r="E16" s="93">
        <f t="shared" si="0"/>
        <v>2.3616141054304327</v>
      </c>
      <c r="F16" s="92">
        <v>3378</v>
      </c>
      <c r="G16" s="93">
        <f t="shared" si="1"/>
        <v>1.0745095045423314</v>
      </c>
      <c r="H16" s="93">
        <f t="shared" si="2"/>
        <v>6.4906617477519024</v>
      </c>
      <c r="I16" s="75"/>
    </row>
    <row r="17" spans="2:9" ht="12" customHeight="1">
      <c r="B17" s="337">
        <v>47237</v>
      </c>
      <c r="C17" s="338" t="s">
        <v>57</v>
      </c>
      <c r="D17" s="92">
        <v>51085</v>
      </c>
      <c r="E17" s="93">
        <f t="shared" si="0"/>
        <v>2.3180973133485829</v>
      </c>
      <c r="F17" s="92">
        <v>4267</v>
      </c>
      <c r="G17" s="93">
        <f>F17/$F$4*100</f>
        <v>1.3572919052344963</v>
      </c>
      <c r="H17" s="93">
        <f t="shared" si="2"/>
        <v>8.3527454242928449</v>
      </c>
      <c r="I17" s="75"/>
    </row>
    <row r="18" spans="2:9" ht="24">
      <c r="B18" s="337">
        <v>47890</v>
      </c>
      <c r="C18" s="338" t="s">
        <v>53</v>
      </c>
      <c r="D18" s="92">
        <v>50733</v>
      </c>
      <c r="E18" s="93">
        <f t="shared" si="0"/>
        <v>2.3021245179233372</v>
      </c>
      <c r="F18" s="92">
        <v>6986</v>
      </c>
      <c r="G18" s="93">
        <f>F18/$F$4*100</f>
        <v>2.2221798101636256</v>
      </c>
      <c r="H18" s="93">
        <f>F18/D18*100</f>
        <v>13.770129895728619</v>
      </c>
      <c r="I18" s="75"/>
    </row>
    <row r="19" spans="2:9" ht="12" customHeight="1">
      <c r="B19" s="337">
        <v>43304</v>
      </c>
      <c r="C19" s="338" t="s">
        <v>55</v>
      </c>
      <c r="D19" s="92">
        <v>41562</v>
      </c>
      <c r="E19" s="93">
        <f t="shared" si="0"/>
        <v>1.8859696689320506</v>
      </c>
      <c r="F19" s="92">
        <v>9502</v>
      </c>
      <c r="G19" s="93">
        <f>F19/$F$4*100</f>
        <v>3.0224953558795837</v>
      </c>
      <c r="H19" s="93">
        <f>F19/D19*100</f>
        <v>22.862229921562964</v>
      </c>
      <c r="I19" s="75"/>
    </row>
    <row r="20" spans="2:9" ht="12" customHeight="1">
      <c r="B20" s="135"/>
      <c r="C20" s="90" t="s">
        <v>59</v>
      </c>
      <c r="D20" s="90">
        <v>928118</v>
      </c>
      <c r="E20" s="91">
        <f>D20/$D$4*100</f>
        <v>42.115451546842721</v>
      </c>
      <c r="F20" s="90">
        <v>135778</v>
      </c>
      <c r="G20" s="91">
        <f>F20/$F$4*100</f>
        <v>43.189683690866985</v>
      </c>
      <c r="H20" s="91">
        <f>F20/D20*100</f>
        <v>14.629389797418002</v>
      </c>
      <c r="I20" s="75"/>
    </row>
    <row r="21" spans="2:9" ht="27.75" customHeight="1">
      <c r="B21" s="466" t="s">
        <v>547</v>
      </c>
      <c r="C21" s="466"/>
      <c r="D21" s="466"/>
      <c r="E21" s="466"/>
      <c r="F21" s="466"/>
      <c r="G21" s="466"/>
      <c r="H21" s="466"/>
    </row>
    <row r="22" spans="2:9" ht="25.5" customHeight="1">
      <c r="B22" s="376" t="s">
        <v>556</v>
      </c>
      <c r="C22" s="376"/>
      <c r="D22" s="376"/>
      <c r="E22" s="376"/>
      <c r="F22" s="376"/>
      <c r="G22" s="376"/>
      <c r="H22" s="376"/>
    </row>
    <row r="23" spans="2:9" ht="40.5" customHeight="1">
      <c r="B23" s="376" t="s">
        <v>538</v>
      </c>
      <c r="C23" s="376"/>
      <c r="D23" s="376"/>
      <c r="E23" s="376"/>
      <c r="F23" s="376"/>
      <c r="G23" s="376"/>
      <c r="H23" s="376"/>
    </row>
    <row r="24" spans="2:9" ht="33" customHeight="1">
      <c r="B24" s="474"/>
      <c r="C24" s="474"/>
      <c r="D24" s="474"/>
      <c r="E24" s="474"/>
      <c r="F24" s="474"/>
      <c r="G24" s="474"/>
      <c r="H24" s="474"/>
    </row>
    <row r="25" spans="2:9" ht="14.45" customHeight="1">
      <c r="B25" s="420"/>
      <c r="C25" s="420"/>
      <c r="D25" s="420"/>
      <c r="E25" s="420"/>
      <c r="F25" s="420"/>
      <c r="G25" s="420"/>
      <c r="H25" s="420"/>
    </row>
    <row r="26" spans="2:9" ht="14.25">
      <c r="B26" s="420"/>
      <c r="C26" s="420"/>
      <c r="D26" s="420"/>
      <c r="E26" s="420"/>
      <c r="F26" s="420"/>
      <c r="G26" s="420"/>
      <c r="H26" s="420"/>
    </row>
  </sheetData>
  <mergeCells count="9">
    <mergeCell ref="B24:H24"/>
    <mergeCell ref="B25:H26"/>
    <mergeCell ref="B21:H21"/>
    <mergeCell ref="B1:H1"/>
    <mergeCell ref="B2:C3"/>
    <mergeCell ref="D2:E2"/>
    <mergeCell ref="F2:H2"/>
    <mergeCell ref="B22:H22"/>
    <mergeCell ref="B23:H23"/>
  </mergeCells>
  <pageMargins left="0.511811024" right="0.511811024" top="0.78740157499999996" bottom="0.78740157499999996" header="0.31496062000000002" footer="0.31496062000000002"/>
  <pageSetup paperSize="9" orientation="portrait" r:id="rId1"/>
  <ignoredErrors>
    <ignoredError sqref="E4" 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511EA-1610-46F3-9582-890293A3D160}">
  <sheetPr>
    <tabColor rgb="FF92D050"/>
  </sheetPr>
  <dimension ref="B3:I25"/>
  <sheetViews>
    <sheetView showGridLines="0" zoomScaleNormal="100" workbookViewId="0">
      <selection activeCell="G16" sqref="G16"/>
    </sheetView>
  </sheetViews>
  <sheetFormatPr defaultRowHeight="14.25"/>
  <cols>
    <col min="1" max="1" width="9.140625" style="43"/>
    <col min="2" max="2" width="35.7109375" style="43" customWidth="1"/>
    <col min="3" max="3" width="10.85546875" style="43" customWidth="1"/>
    <col min="4" max="5" width="11" style="79" customWidth="1"/>
    <col min="6" max="6" width="11.28515625" style="80" customWidth="1"/>
    <col min="7" max="16384" width="9.140625" style="43"/>
  </cols>
  <sheetData>
    <row r="3" spans="2:9" ht="3.75" customHeight="1"/>
    <row r="4" spans="2:9" ht="30" customHeight="1">
      <c r="B4" s="425" t="s">
        <v>242</v>
      </c>
      <c r="C4" s="425"/>
      <c r="D4" s="425"/>
      <c r="E4" s="50"/>
    </row>
    <row r="5" spans="2:9">
      <c r="B5" s="425"/>
      <c r="C5" s="425"/>
      <c r="D5" s="425"/>
      <c r="E5" s="50"/>
    </row>
    <row r="6" spans="2:9" ht="2.25" customHeight="1">
      <c r="B6" s="51"/>
      <c r="C6" s="51"/>
      <c r="D6" s="51"/>
      <c r="E6" s="50"/>
    </row>
    <row r="7" spans="2:9" ht="48" customHeight="1">
      <c r="B7" s="86" t="s">
        <v>243</v>
      </c>
      <c r="C7" s="106" t="s">
        <v>115</v>
      </c>
      <c r="D7" s="107" t="s">
        <v>559</v>
      </c>
      <c r="E7" s="81"/>
      <c r="F7" s="332"/>
    </row>
    <row r="8" spans="2:9">
      <c r="B8" s="322" t="s">
        <v>8</v>
      </c>
      <c r="C8" s="314">
        <v>1101034</v>
      </c>
      <c r="D8" s="323">
        <v>2341.2217583376168</v>
      </c>
      <c r="E8" s="76"/>
    </row>
    <row r="9" spans="2:9">
      <c r="B9" s="236" t="s">
        <v>114</v>
      </c>
      <c r="C9" s="315"/>
      <c r="D9" s="325"/>
      <c r="E9" s="77"/>
    </row>
    <row r="10" spans="2:9">
      <c r="B10" s="142" t="s">
        <v>124</v>
      </c>
      <c r="C10" s="316">
        <v>641242</v>
      </c>
      <c r="D10" s="325">
        <v>2431.089106904652</v>
      </c>
      <c r="E10" s="77"/>
    </row>
    <row r="11" spans="2:9">
      <c r="B11" s="142" t="s">
        <v>125</v>
      </c>
      <c r="C11" s="316">
        <v>459792</v>
      </c>
      <c r="D11" s="325">
        <v>2214.9777617007712</v>
      </c>
      <c r="E11" s="77"/>
    </row>
    <row r="12" spans="2:9">
      <c r="B12" s="236" t="s">
        <v>244</v>
      </c>
      <c r="C12" s="315"/>
      <c r="D12" s="325"/>
      <c r="E12" s="77"/>
    </row>
    <row r="13" spans="2:9">
      <c r="B13" s="217" t="s">
        <v>205</v>
      </c>
      <c r="C13" s="317">
        <f>SUM(C14:C17)</f>
        <v>830532</v>
      </c>
      <c r="D13" s="324">
        <v>2103.5925247919031</v>
      </c>
      <c r="E13" s="78"/>
    </row>
    <row r="14" spans="2:9">
      <c r="B14" s="237" t="s">
        <v>206</v>
      </c>
      <c r="C14" s="320">
        <v>516382</v>
      </c>
      <c r="D14" s="325">
        <v>2149.6168548419082</v>
      </c>
      <c r="E14" s="77"/>
      <c r="I14" s="54"/>
    </row>
    <row r="15" spans="2:9">
      <c r="B15" s="238" t="s">
        <v>207</v>
      </c>
      <c r="C15" s="318">
        <v>204766</v>
      </c>
      <c r="D15" s="325">
        <v>2026.6567022487679</v>
      </c>
      <c r="E15" s="77"/>
      <c r="I15" s="54"/>
    </row>
    <row r="16" spans="2:9">
      <c r="B16" s="238" t="s">
        <v>245</v>
      </c>
      <c r="C16" s="318">
        <v>89887</v>
      </c>
      <c r="D16" s="325">
        <v>1669.580948166976</v>
      </c>
      <c r="E16" s="77"/>
      <c r="I16" s="54"/>
    </row>
    <row r="17" spans="2:9">
      <c r="B17" s="238" t="s">
        <v>208</v>
      </c>
      <c r="C17" s="318">
        <v>19497</v>
      </c>
      <c r="D17" s="325">
        <v>3017.0017568788139</v>
      </c>
      <c r="E17" s="77"/>
      <c r="I17" s="54"/>
    </row>
    <row r="18" spans="2:9">
      <c r="B18" s="217" t="s">
        <v>533</v>
      </c>
      <c r="C18" s="319">
        <v>270502</v>
      </c>
      <c r="D18" s="324">
        <v>2873.8784249390219</v>
      </c>
      <c r="E18" s="78"/>
    </row>
    <row r="19" spans="2:9">
      <c r="B19" s="123" t="s">
        <v>168</v>
      </c>
      <c r="C19" s="315"/>
      <c r="D19" s="325"/>
      <c r="E19" s="77"/>
    </row>
    <row r="20" spans="2:9">
      <c r="B20" s="142" t="s">
        <v>162</v>
      </c>
      <c r="C20" s="320">
        <v>899327</v>
      </c>
      <c r="D20" s="325">
        <v>1912.0968273737617</v>
      </c>
      <c r="E20" s="77"/>
    </row>
    <row r="21" spans="2:9">
      <c r="B21" s="239" t="s">
        <v>246</v>
      </c>
      <c r="C21" s="321">
        <v>201707</v>
      </c>
      <c r="D21" s="326">
        <v>3947.5710296227358</v>
      </c>
      <c r="E21" s="77"/>
    </row>
    <row r="22" spans="2:9" ht="4.5" customHeight="1">
      <c r="B22" s="475"/>
      <c r="C22" s="475"/>
      <c r="D22" s="475"/>
      <c r="E22" s="55"/>
    </row>
    <row r="23" spans="2:9" ht="36.75" customHeight="1">
      <c r="B23" s="376" t="s">
        <v>547</v>
      </c>
      <c r="C23" s="376"/>
      <c r="D23" s="376"/>
      <c r="E23" s="48"/>
    </row>
    <row r="24" spans="2:9" ht="57" customHeight="1">
      <c r="B24" s="411" t="s">
        <v>616</v>
      </c>
      <c r="C24" s="411"/>
      <c r="D24" s="411"/>
    </row>
    <row r="25" spans="2:9" ht="39.75" customHeight="1">
      <c r="B25" s="424" t="s">
        <v>558</v>
      </c>
      <c r="C25" s="424"/>
      <c r="D25" s="424"/>
    </row>
  </sheetData>
  <mergeCells count="5">
    <mergeCell ref="B4:D5"/>
    <mergeCell ref="B22:D22"/>
    <mergeCell ref="B23:D23"/>
    <mergeCell ref="B25:D25"/>
    <mergeCell ref="B24:D24"/>
  </mergeCells>
  <pageMargins left="0.7" right="0.7" top="0.75" bottom="0.75" header="0.3" footer="0.3"/>
  <ignoredErrors>
    <ignoredError sqref="C13" formulaRange="1"/>
  </ignoredError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C60B3-29FC-4C9F-81A3-6A9757E5E1BA}">
  <sheetPr>
    <tabColor rgb="FF92D050"/>
  </sheetPr>
  <dimension ref="B2:J23"/>
  <sheetViews>
    <sheetView showGridLines="0" zoomScaleNormal="100" workbookViewId="0">
      <selection activeCell="G3" sqref="G3"/>
    </sheetView>
  </sheetViews>
  <sheetFormatPr defaultRowHeight="15"/>
  <cols>
    <col min="1" max="1" width="1.85546875" customWidth="1"/>
    <col min="2" max="2" width="44.140625" customWidth="1"/>
    <col min="3" max="3" width="10" customWidth="1"/>
    <col min="4" max="4" width="8.7109375" customWidth="1"/>
    <col min="5" max="5" width="10.5703125" customWidth="1"/>
    <col min="10" max="10" width="14.7109375" customWidth="1"/>
  </cols>
  <sheetData>
    <row r="2" spans="2:10" ht="27" customHeight="1">
      <c r="B2" s="364" t="s">
        <v>247</v>
      </c>
      <c r="C2" s="364"/>
      <c r="D2" s="364"/>
      <c r="E2" s="364"/>
    </row>
    <row r="3" spans="2:10" ht="6" customHeight="1">
      <c r="B3" s="1"/>
      <c r="C3" s="1"/>
      <c r="D3" s="28"/>
      <c r="E3" s="28"/>
    </row>
    <row r="4" spans="2:10" ht="24" customHeight="1">
      <c r="B4" s="372" t="s">
        <v>248</v>
      </c>
      <c r="C4" s="369" t="s">
        <v>40</v>
      </c>
      <c r="D4" s="436"/>
      <c r="E4" s="436"/>
      <c r="J4" s="27"/>
    </row>
    <row r="5" spans="2:10" ht="48">
      <c r="B5" s="372"/>
      <c r="C5" s="87" t="s">
        <v>6</v>
      </c>
      <c r="D5" s="107" t="s">
        <v>7</v>
      </c>
      <c r="E5" s="107" t="s">
        <v>196</v>
      </c>
      <c r="J5" s="27"/>
    </row>
    <row r="6" spans="2:10">
      <c r="B6" s="110" t="s">
        <v>249</v>
      </c>
      <c r="C6" s="90"/>
      <c r="D6" s="91"/>
      <c r="E6" s="91"/>
    </row>
    <row r="7" spans="2:10">
      <c r="B7" s="133" t="s">
        <v>8</v>
      </c>
      <c r="C7" s="90">
        <f>SUM(C8:C11)</f>
        <v>2203747</v>
      </c>
      <c r="D7" s="242">
        <f>SUM(D8:D11)</f>
        <v>100</v>
      </c>
      <c r="E7" s="91">
        <f>SUM(E8:E10)</f>
        <v>100</v>
      </c>
    </row>
    <row r="8" spans="2:10">
      <c r="B8" s="240" t="s">
        <v>250</v>
      </c>
      <c r="C8" s="92">
        <v>162607</v>
      </c>
      <c r="D8" s="93">
        <f>C8/$C$7*100</f>
        <v>7.3786600730483123</v>
      </c>
      <c r="E8" s="93">
        <f>100*C8/SUM(C$8:C$10)</f>
        <v>7.4438757759425753</v>
      </c>
    </row>
    <row r="9" spans="2:10">
      <c r="B9" s="240" t="s">
        <v>251</v>
      </c>
      <c r="C9" s="92">
        <v>1909322</v>
      </c>
      <c r="D9" s="93">
        <f t="shared" ref="D9:D11" si="0">C9/$C$7*100</f>
        <v>86.639800303755379</v>
      </c>
      <c r="E9" s="93">
        <f t="shared" ref="E9:E10" si="1">100*C9/SUM(C$8:C$10)</f>
        <v>87.405559319551003</v>
      </c>
    </row>
    <row r="10" spans="2:10">
      <c r="B10" s="240" t="s">
        <v>252</v>
      </c>
      <c r="C10" s="92">
        <v>112511</v>
      </c>
      <c r="D10" s="93">
        <f t="shared" si="0"/>
        <v>5.1054408695735036</v>
      </c>
      <c r="E10" s="93">
        <f t="shared" si="1"/>
        <v>5.1505649045064184</v>
      </c>
    </row>
    <row r="11" spans="2:10">
      <c r="B11" s="240" t="s">
        <v>253</v>
      </c>
      <c r="C11" s="92">
        <v>19307</v>
      </c>
      <c r="D11" s="93">
        <f t="shared" si="0"/>
        <v>0.87609875362280698</v>
      </c>
      <c r="E11" s="113" t="s">
        <v>65</v>
      </c>
    </row>
    <row r="12" spans="2:10" ht="17.25" customHeight="1">
      <c r="B12" s="89" t="s">
        <v>254</v>
      </c>
      <c r="C12" s="92"/>
      <c r="D12" s="93"/>
      <c r="E12" s="93"/>
    </row>
    <row r="13" spans="2:10">
      <c r="B13" s="133" t="s">
        <v>8</v>
      </c>
      <c r="C13" s="241">
        <f>SUM(C14:C20)</f>
        <v>2203747</v>
      </c>
      <c r="D13" s="242">
        <f>SUM(D14:D20)</f>
        <v>99.999999999999986</v>
      </c>
      <c r="E13" s="242">
        <f>SUM(E14:E19)</f>
        <v>100.00000000000001</v>
      </c>
    </row>
    <row r="14" spans="2:10">
      <c r="B14" s="240" t="s">
        <v>255</v>
      </c>
      <c r="C14" s="92">
        <v>91701</v>
      </c>
      <c r="D14" s="93">
        <f>C14/$C$13*100</f>
        <v>4.1611400945752841</v>
      </c>
      <c r="E14" s="93">
        <f>100*C14/SUM(C$14:C$19)</f>
        <v>4.2675407040760387</v>
      </c>
    </row>
    <row r="15" spans="2:10">
      <c r="B15" s="240" t="s">
        <v>256</v>
      </c>
      <c r="C15" s="92">
        <v>497229</v>
      </c>
      <c r="D15" s="93">
        <f t="shared" ref="D15:D20" si="2">C15/$C$13*100</f>
        <v>22.562889478692426</v>
      </c>
      <c r="E15" s="93">
        <f t="shared" ref="E15:E19" si="3">100*C15/SUM(C$14:C$19)</f>
        <v>23.139823957721557</v>
      </c>
    </row>
    <row r="16" spans="2:10">
      <c r="B16" s="240" t="s">
        <v>257</v>
      </c>
      <c r="C16" s="92">
        <v>480096</v>
      </c>
      <c r="D16" s="93">
        <f t="shared" si="2"/>
        <v>21.785440887724409</v>
      </c>
      <c r="E16" s="93">
        <f t="shared" si="3"/>
        <v>22.342495958212996</v>
      </c>
    </row>
    <row r="17" spans="2:8">
      <c r="B17" s="240" t="s">
        <v>258</v>
      </c>
      <c r="C17" s="92">
        <v>153540</v>
      </c>
      <c r="D17" s="93">
        <f t="shared" si="2"/>
        <v>6.9672244590690307</v>
      </c>
      <c r="E17" s="93">
        <f t="shared" si="3"/>
        <v>7.1453768192695275</v>
      </c>
    </row>
    <row r="18" spans="2:8">
      <c r="B18" s="240" t="s">
        <v>259</v>
      </c>
      <c r="C18" s="92">
        <v>301201</v>
      </c>
      <c r="D18" s="93">
        <f t="shared" si="2"/>
        <v>13.667676008180612</v>
      </c>
      <c r="E18" s="93">
        <f t="shared" si="3"/>
        <v>14.017159328779478</v>
      </c>
    </row>
    <row r="19" spans="2:8">
      <c r="B19" s="240" t="s">
        <v>260</v>
      </c>
      <c r="C19" s="92">
        <v>625035</v>
      </c>
      <c r="D19" s="93">
        <f t="shared" si="2"/>
        <v>28.362375535848717</v>
      </c>
      <c r="E19" s="93">
        <f t="shared" si="3"/>
        <v>29.087603231940403</v>
      </c>
    </row>
    <row r="20" spans="2:8">
      <c r="B20" s="114" t="s">
        <v>261</v>
      </c>
      <c r="C20" s="92">
        <v>54945</v>
      </c>
      <c r="D20" s="93">
        <f t="shared" si="2"/>
        <v>2.4932535359095214</v>
      </c>
      <c r="E20" s="243" t="s">
        <v>65</v>
      </c>
    </row>
    <row r="21" spans="2:8" ht="27" customHeight="1">
      <c r="B21" s="477" t="s">
        <v>547</v>
      </c>
      <c r="C21" s="477"/>
      <c r="D21" s="477"/>
      <c r="E21" s="477"/>
    </row>
    <row r="22" spans="2:8" ht="39" customHeight="1">
      <c r="B22" s="376" t="s">
        <v>556</v>
      </c>
      <c r="C22" s="476"/>
      <c r="D22" s="476"/>
      <c r="E22" s="476"/>
      <c r="F22" s="7"/>
      <c r="G22" s="2"/>
      <c r="H22" s="2"/>
    </row>
    <row r="23" spans="2:8" ht="95.25" customHeight="1">
      <c r="B23" s="376" t="s">
        <v>560</v>
      </c>
      <c r="C23" s="476"/>
      <c r="D23" s="476"/>
      <c r="E23" s="476"/>
    </row>
  </sheetData>
  <mergeCells count="6">
    <mergeCell ref="B23:E23"/>
    <mergeCell ref="B4:B5"/>
    <mergeCell ref="C4:E4"/>
    <mergeCell ref="B2:E2"/>
    <mergeCell ref="B22:E22"/>
    <mergeCell ref="B21:E21"/>
  </mergeCells>
  <pageMargins left="0.511811024" right="0.511811024" top="0.78740157499999996" bottom="0.78740157499999996" header="0.31496062000000002" footer="0.31496062000000002"/>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1F046-D98D-4BB2-BA14-D1FAC33D076B}">
  <sheetPr>
    <tabColor rgb="FF92D050"/>
  </sheetPr>
  <dimension ref="B1:Q21"/>
  <sheetViews>
    <sheetView showGridLines="0" zoomScaleNormal="100" workbookViewId="0">
      <selection activeCell="C9" sqref="C9:C10"/>
    </sheetView>
  </sheetViews>
  <sheetFormatPr defaultColWidth="9.140625" defaultRowHeight="15" customHeight="1"/>
  <cols>
    <col min="1" max="1" width="1.7109375" customWidth="1"/>
    <col min="2" max="2" width="33" customWidth="1"/>
    <col min="3" max="3" width="10.42578125" customWidth="1"/>
    <col min="4" max="4" width="10.7109375" hidden="1" customWidth="1"/>
    <col min="5" max="5" width="12.42578125" hidden="1" customWidth="1"/>
    <col min="6" max="6" width="9.28515625" bestFit="1" customWidth="1"/>
    <col min="7" max="7" width="4.7109375" customWidth="1"/>
    <col min="8" max="8" width="8.28515625" bestFit="1" customWidth="1"/>
    <col min="9" max="9" width="5" customWidth="1"/>
    <col min="10" max="10" width="7.85546875" hidden="1" customWidth="1"/>
    <col min="11" max="11" width="6.28515625" hidden="1" customWidth="1"/>
    <col min="12" max="12" width="9.28515625" bestFit="1" customWidth="1"/>
    <col min="13" max="13" width="9.42578125" customWidth="1"/>
    <col min="14" max="14" width="6.28515625" hidden="1" customWidth="1"/>
    <col min="15" max="15" width="10.28515625" bestFit="1" customWidth="1"/>
    <col min="16" max="16" width="7.42578125" customWidth="1"/>
    <col min="17" max="17" width="18.28515625" bestFit="1" customWidth="1"/>
  </cols>
  <sheetData>
    <row r="1" spans="2:17" ht="6.75" customHeight="1"/>
    <row r="2" spans="2:17" ht="12.75" hidden="1" customHeight="1">
      <c r="B2" s="442"/>
      <c r="C2" s="442"/>
      <c r="D2" s="442"/>
      <c r="E2" s="442"/>
      <c r="F2" s="442"/>
      <c r="G2" s="442"/>
      <c r="H2" s="1"/>
      <c r="I2" s="251"/>
      <c r="J2" s="1"/>
      <c r="K2" s="1"/>
      <c r="L2" s="1"/>
      <c r="M2" s="1"/>
      <c r="N2" s="1"/>
      <c r="O2" s="1"/>
      <c r="P2" s="1"/>
    </row>
    <row r="3" spans="2:17" ht="32.25" customHeight="1">
      <c r="B3" s="395" t="s">
        <v>524</v>
      </c>
      <c r="C3" s="395"/>
      <c r="D3" s="395"/>
      <c r="E3" s="395"/>
      <c r="F3" s="395"/>
      <c r="G3" s="395"/>
      <c r="H3" s="395"/>
      <c r="I3" s="395"/>
      <c r="J3" s="395"/>
      <c r="K3" s="395"/>
      <c r="L3" s="395"/>
      <c r="M3" s="395"/>
      <c r="N3" s="395"/>
      <c r="O3" s="395"/>
      <c r="P3" s="395"/>
    </row>
    <row r="4" spans="2:17" ht="21.75" customHeight="1">
      <c r="B4" s="365" t="s">
        <v>1</v>
      </c>
      <c r="C4" s="367" t="s">
        <v>2</v>
      </c>
      <c r="D4" s="371" t="s">
        <v>262</v>
      </c>
      <c r="E4" s="371"/>
      <c r="F4" s="371" t="s">
        <v>263</v>
      </c>
      <c r="G4" s="371"/>
      <c r="H4" s="371" t="s">
        <v>264</v>
      </c>
      <c r="I4" s="371"/>
      <c r="J4" s="371" t="s">
        <v>59</v>
      </c>
      <c r="K4" s="371"/>
      <c r="L4" s="371" t="s">
        <v>265</v>
      </c>
      <c r="M4" s="371"/>
      <c r="N4" s="106" t="s">
        <v>266</v>
      </c>
      <c r="O4" s="371" t="s">
        <v>267</v>
      </c>
      <c r="P4" s="371"/>
    </row>
    <row r="5" spans="2:17" ht="32.25" customHeight="1">
      <c r="B5" s="365"/>
      <c r="C5" s="367"/>
      <c r="D5" s="87" t="s">
        <v>6</v>
      </c>
      <c r="E5" s="87" t="s">
        <v>7</v>
      </c>
      <c r="F5" s="87" t="s">
        <v>6</v>
      </c>
      <c r="G5" s="87" t="s">
        <v>268</v>
      </c>
      <c r="H5" s="87" t="s">
        <v>6</v>
      </c>
      <c r="I5" s="87" t="s">
        <v>268</v>
      </c>
      <c r="J5" s="87" t="s">
        <v>6</v>
      </c>
      <c r="K5" s="87" t="s">
        <v>268</v>
      </c>
      <c r="L5" s="87" t="s">
        <v>6</v>
      </c>
      <c r="M5" s="87" t="s">
        <v>269</v>
      </c>
      <c r="N5" s="87"/>
      <c r="O5" s="87" t="s">
        <v>6</v>
      </c>
      <c r="P5" s="107" t="s">
        <v>7</v>
      </c>
      <c r="Q5" s="66"/>
    </row>
    <row r="6" spans="2:17">
      <c r="B6" s="110" t="s">
        <v>8</v>
      </c>
      <c r="C6" s="244" t="s">
        <v>9</v>
      </c>
      <c r="D6" s="90">
        <f>SUM(D7:D11)</f>
        <v>11141837</v>
      </c>
      <c r="E6" s="91">
        <v>100</v>
      </c>
      <c r="F6" s="90">
        <v>2909316</v>
      </c>
      <c r="G6" s="91">
        <f>100*F6/$O6</f>
        <v>22.049510135685633</v>
      </c>
      <c r="H6" s="90">
        <v>856683</v>
      </c>
      <c r="I6" s="91">
        <f>100*H6/$O6</f>
        <v>6.4927427930034325</v>
      </c>
      <c r="J6" s="245">
        <f>+L6-F6+H6</f>
        <v>0</v>
      </c>
      <c r="K6" s="245">
        <f>100*J6/$O6</f>
        <v>0</v>
      </c>
      <c r="L6" s="90">
        <f>+O6-D6</f>
        <v>2052633</v>
      </c>
      <c r="M6" s="91">
        <f>100*L6/D6</f>
        <v>18.422752011180922</v>
      </c>
      <c r="N6" s="245">
        <f>+G6+I6</f>
        <v>28.542252928689066</v>
      </c>
      <c r="O6" s="90">
        <v>13194470</v>
      </c>
      <c r="P6" s="91">
        <v>100</v>
      </c>
    </row>
    <row r="7" spans="2:17" ht="24" customHeight="1">
      <c r="B7" s="133" t="s">
        <v>10</v>
      </c>
      <c r="C7" s="246" t="s">
        <v>11</v>
      </c>
      <c r="D7" s="90">
        <v>30762</v>
      </c>
      <c r="E7" s="91">
        <f>(D7/D6)*100</f>
        <v>0.27609450757536663</v>
      </c>
      <c r="F7" s="90">
        <v>18023</v>
      </c>
      <c r="G7" s="91">
        <f t="shared" ref="G7:G16" si="0">100*F7/$O7</f>
        <v>39.313759706831867</v>
      </c>
      <c r="H7" s="90">
        <v>3446</v>
      </c>
      <c r="I7" s="91">
        <f t="shared" ref="I7:K7" si="1">100*H7/$O7</f>
        <v>7.5167960910915275</v>
      </c>
      <c r="J7" s="247">
        <f t="shared" ref="J7:J16" si="2">+L7-F7+H7</f>
        <v>505</v>
      </c>
      <c r="K7" s="245">
        <f t="shared" si="1"/>
        <v>1.101561818340459</v>
      </c>
      <c r="L7" s="90">
        <f t="shared" ref="L7:L16" si="3">+O7-D7</f>
        <v>15082</v>
      </c>
      <c r="M7" s="91">
        <f t="shared" ref="M7:M16" si="4">100*L7/D7</f>
        <v>49.028021585072494</v>
      </c>
      <c r="N7" s="245">
        <f t="shared" ref="N7:N16" si="5">+G7+I7</f>
        <v>46.830555797923395</v>
      </c>
      <c r="O7" s="90">
        <v>45844</v>
      </c>
      <c r="P7" s="91">
        <f t="shared" ref="P7:P16" si="6">(O7/O$6)*100</f>
        <v>0.34744859020483582</v>
      </c>
    </row>
    <row r="8" spans="2:17" ht="13.5" customHeight="1">
      <c r="B8" s="133" t="s">
        <v>12</v>
      </c>
      <c r="C8" s="246" t="s">
        <v>13</v>
      </c>
      <c r="D8" s="90">
        <v>1216092</v>
      </c>
      <c r="E8" s="91">
        <f>(D8/D6)*100</f>
        <v>10.914645403625991</v>
      </c>
      <c r="F8" s="90">
        <v>297929</v>
      </c>
      <c r="G8" s="91">
        <f t="shared" si="0"/>
        <v>20.926859352039941</v>
      </c>
      <c r="H8" s="90">
        <v>87306</v>
      </c>
      <c r="I8" s="91">
        <f t="shared" ref="I8:K8" si="7">100*H8/$O8</f>
        <v>6.1324690868938543</v>
      </c>
      <c r="J8" s="247">
        <f t="shared" si="2"/>
        <v>-3047</v>
      </c>
      <c r="K8" s="245">
        <f t="shared" si="7"/>
        <v>-0.21402461809916357</v>
      </c>
      <c r="L8" s="90">
        <f t="shared" si="3"/>
        <v>207576</v>
      </c>
      <c r="M8" s="91">
        <f t="shared" si="4"/>
        <v>17.069103324419533</v>
      </c>
      <c r="N8" s="245">
        <f t="shared" si="5"/>
        <v>27.059328438933797</v>
      </c>
      <c r="O8" s="90">
        <v>1423668</v>
      </c>
      <c r="P8" s="91">
        <f t="shared" si="6"/>
        <v>10.78988394380373</v>
      </c>
    </row>
    <row r="9" spans="2:17" ht="14.25" customHeight="1">
      <c r="B9" s="133" t="s">
        <v>21</v>
      </c>
      <c r="C9" s="246" t="s">
        <v>22</v>
      </c>
      <c r="D9" s="90">
        <v>1058614</v>
      </c>
      <c r="E9" s="91">
        <f>(D9/D6)*100</f>
        <v>9.5012519030748699</v>
      </c>
      <c r="F9" s="90">
        <v>237483</v>
      </c>
      <c r="G9" s="91">
        <f t="shared" si="0"/>
        <v>19.198317864444515</v>
      </c>
      <c r="H9" s="90">
        <v>58147</v>
      </c>
      <c r="I9" s="91">
        <f t="shared" ref="I9:K9" si="8">100*H9/$O9</f>
        <v>4.7006505259907243</v>
      </c>
      <c r="J9" s="247">
        <f t="shared" si="2"/>
        <v>-951</v>
      </c>
      <c r="K9" s="245">
        <f t="shared" si="8"/>
        <v>-7.6879609441883143E-2</v>
      </c>
      <c r="L9" s="90">
        <f t="shared" si="3"/>
        <v>178385</v>
      </c>
      <c r="M9" s="91">
        <f t="shared" si="4"/>
        <v>16.850806809658668</v>
      </c>
      <c r="N9" s="245">
        <f t="shared" si="5"/>
        <v>23.89896839043524</v>
      </c>
      <c r="O9" s="90">
        <v>1236999</v>
      </c>
      <c r="P9" s="91">
        <f t="shared" si="6"/>
        <v>9.3751321576387685</v>
      </c>
    </row>
    <row r="10" spans="2:17" ht="27" customHeight="1">
      <c r="B10" s="133" t="s">
        <v>23</v>
      </c>
      <c r="C10" s="246" t="s">
        <v>24</v>
      </c>
      <c r="D10" s="90">
        <v>3331271</v>
      </c>
      <c r="E10" s="91">
        <f>(D10/D6)*100</f>
        <v>29.898759064595904</v>
      </c>
      <c r="F10" s="90">
        <v>800460</v>
      </c>
      <c r="G10" s="91">
        <f t="shared" si="0"/>
        <v>20.732691869866265</v>
      </c>
      <c r="H10" s="90">
        <v>271440</v>
      </c>
      <c r="I10" s="91">
        <f t="shared" ref="I10:K10" si="9">100*H10/$O10</f>
        <v>7.0305597795723695</v>
      </c>
      <c r="J10" s="247">
        <f t="shared" si="2"/>
        <v>568</v>
      </c>
      <c r="K10" s="245">
        <f t="shared" si="9"/>
        <v>1.471175197022217E-2</v>
      </c>
      <c r="L10" s="90">
        <f t="shared" si="3"/>
        <v>529588</v>
      </c>
      <c r="M10" s="91">
        <f t="shared" si="4"/>
        <v>15.897475768257822</v>
      </c>
      <c r="N10" s="245">
        <f t="shared" si="5"/>
        <v>27.763251649438637</v>
      </c>
      <c r="O10" s="90">
        <v>3860859</v>
      </c>
      <c r="P10" s="91">
        <f t="shared" si="6"/>
        <v>29.261190483588955</v>
      </c>
    </row>
    <row r="11" spans="2:17" ht="13.5" customHeight="1">
      <c r="B11" s="133" t="s">
        <v>25</v>
      </c>
      <c r="C11" s="246" t="s">
        <v>26</v>
      </c>
      <c r="D11" s="90">
        <f>SUM(D12:D16)</f>
        <v>5505098</v>
      </c>
      <c r="E11" s="91">
        <f>(D11/D6)*100</f>
        <v>49.409249121127871</v>
      </c>
      <c r="F11" s="90">
        <f>SUM(F12:F16)</f>
        <v>1555421</v>
      </c>
      <c r="G11" s="91">
        <f t="shared" si="0"/>
        <v>23.470613088681322</v>
      </c>
      <c r="H11" s="90">
        <f>SUM(H12:H16)</f>
        <v>436344</v>
      </c>
      <c r="I11" s="91">
        <f t="shared" ref="I11:K11" si="10">100*H11/$O11</f>
        <v>6.5842374492613658</v>
      </c>
      <c r="J11" s="247">
        <f t="shared" si="2"/>
        <v>2925</v>
      </c>
      <c r="K11" s="245">
        <f t="shared" si="10"/>
        <v>4.4136952814956769E-2</v>
      </c>
      <c r="L11" s="90">
        <f t="shared" si="3"/>
        <v>1122002</v>
      </c>
      <c r="M11" s="91">
        <f t="shared" si="4"/>
        <v>20.381144895149912</v>
      </c>
      <c r="N11" s="245">
        <f t="shared" si="5"/>
        <v>30.054850537942688</v>
      </c>
      <c r="O11" s="90">
        <f>SUM(O12:O16)</f>
        <v>6627100</v>
      </c>
      <c r="P11" s="91">
        <f t="shared" si="6"/>
        <v>50.2263448247637</v>
      </c>
    </row>
    <row r="12" spans="2:17" ht="13.5" customHeight="1">
      <c r="B12" s="240" t="s">
        <v>27</v>
      </c>
      <c r="C12" s="248" t="s">
        <v>28</v>
      </c>
      <c r="D12" s="92">
        <v>809943</v>
      </c>
      <c r="E12" s="93">
        <f>(D12/D$6)*100</f>
        <v>7.2693847522630248</v>
      </c>
      <c r="F12" s="92">
        <v>262137</v>
      </c>
      <c r="G12" s="93">
        <f t="shared" si="0"/>
        <v>25.953850053266695</v>
      </c>
      <c r="H12" s="92">
        <v>63200</v>
      </c>
      <c r="I12" s="93">
        <f t="shared" ref="I12:K12" si="11">100*H12/$O12</f>
        <v>6.2573513978051745</v>
      </c>
      <c r="J12" s="249">
        <f t="shared" si="2"/>
        <v>1132</v>
      </c>
      <c r="K12" s="250">
        <f t="shared" si="11"/>
        <v>0.11207787630245977</v>
      </c>
      <c r="L12" s="92">
        <f t="shared" si="3"/>
        <v>200069</v>
      </c>
      <c r="M12" s="93">
        <f t="shared" si="4"/>
        <v>24.701614804992449</v>
      </c>
      <c r="N12" s="250">
        <f t="shared" si="5"/>
        <v>32.211201451071872</v>
      </c>
      <c r="O12" s="92">
        <v>1010012</v>
      </c>
      <c r="P12" s="93">
        <f t="shared" si="6"/>
        <v>7.6548129633096291</v>
      </c>
    </row>
    <row r="13" spans="2:17" ht="13.5" customHeight="1">
      <c r="B13" s="240" t="s">
        <v>29</v>
      </c>
      <c r="C13" s="248" t="s">
        <v>30</v>
      </c>
      <c r="D13" s="92">
        <v>1304028</v>
      </c>
      <c r="E13" s="93">
        <f t="shared" ref="E13:E16" si="12">(D13/D$6)*100</f>
        <v>11.70388689046519</v>
      </c>
      <c r="F13" s="92">
        <v>343115</v>
      </c>
      <c r="G13" s="93">
        <f t="shared" si="0"/>
        <v>22.095112370403761</v>
      </c>
      <c r="H13" s="92">
        <v>97513</v>
      </c>
      <c r="I13" s="93">
        <f t="shared" ref="I13:K13" si="13">100*H13/$O13</f>
        <v>6.2794127117006893</v>
      </c>
      <c r="J13" s="249">
        <f t="shared" si="2"/>
        <v>3270</v>
      </c>
      <c r="K13" s="250">
        <f t="shared" si="13"/>
        <v>0.21057376521347157</v>
      </c>
      <c r="L13" s="92">
        <f t="shared" si="3"/>
        <v>248872</v>
      </c>
      <c r="M13" s="93">
        <f t="shared" si="4"/>
        <v>19.084866275877513</v>
      </c>
      <c r="N13" s="250">
        <f t="shared" si="5"/>
        <v>28.374525082104451</v>
      </c>
      <c r="O13" s="92">
        <v>1552900</v>
      </c>
      <c r="P13" s="93">
        <f t="shared" si="6"/>
        <v>11.769324573097668</v>
      </c>
    </row>
    <row r="14" spans="2:17" ht="43.5" customHeight="1">
      <c r="B14" s="240" t="s">
        <v>31</v>
      </c>
      <c r="C14" s="248" t="s">
        <v>32</v>
      </c>
      <c r="D14" s="92">
        <v>1228788</v>
      </c>
      <c r="E14" s="93">
        <f t="shared" si="12"/>
        <v>11.028594297331759</v>
      </c>
      <c r="F14" s="92">
        <v>429331</v>
      </c>
      <c r="G14" s="93">
        <f t="shared" si="0"/>
        <v>28.030730378599728</v>
      </c>
      <c r="H14" s="92">
        <v>133900</v>
      </c>
      <c r="I14" s="93">
        <f t="shared" ref="I14:K14" si="14">100*H14/$O14</f>
        <v>8.7422403639488024</v>
      </c>
      <c r="J14" s="249">
        <f t="shared" si="2"/>
        <v>7425</v>
      </c>
      <c r="K14" s="250">
        <f t="shared" si="14"/>
        <v>0.48477322406512219</v>
      </c>
      <c r="L14" s="92">
        <f t="shared" si="3"/>
        <v>302856</v>
      </c>
      <c r="M14" s="93">
        <f t="shared" si="4"/>
        <v>24.64672506567447</v>
      </c>
      <c r="N14" s="250">
        <f t="shared" si="5"/>
        <v>36.77297074254853</v>
      </c>
      <c r="O14" s="92">
        <v>1531644</v>
      </c>
      <c r="P14" s="93">
        <f t="shared" si="6"/>
        <v>11.608226779855499</v>
      </c>
    </row>
    <row r="15" spans="2:17" ht="38.25" customHeight="1">
      <c r="B15" s="240" t="s">
        <v>33</v>
      </c>
      <c r="C15" s="248" t="s">
        <v>34</v>
      </c>
      <c r="D15" s="92">
        <v>478405</v>
      </c>
      <c r="E15" s="93">
        <f t="shared" si="12"/>
        <v>4.2937713053960493</v>
      </c>
      <c r="F15" s="92">
        <v>169282</v>
      </c>
      <c r="G15" s="93">
        <f t="shared" si="0"/>
        <v>28.26109820982883</v>
      </c>
      <c r="H15" s="92">
        <v>51385</v>
      </c>
      <c r="I15" s="93">
        <f t="shared" ref="I15:K15" si="15">100*H15/$O15</f>
        <v>8.5785643571794665</v>
      </c>
      <c r="J15" s="249">
        <f t="shared" si="2"/>
        <v>2691</v>
      </c>
      <c r="K15" s="250">
        <f t="shared" si="15"/>
        <v>0.44925399795990939</v>
      </c>
      <c r="L15" s="92">
        <f t="shared" si="3"/>
        <v>120588</v>
      </c>
      <c r="M15" s="93">
        <f t="shared" si="4"/>
        <v>25.206258295795404</v>
      </c>
      <c r="N15" s="250">
        <f t="shared" si="5"/>
        <v>36.839662567008297</v>
      </c>
      <c r="O15" s="92">
        <v>598993</v>
      </c>
      <c r="P15" s="93">
        <f t="shared" si="6"/>
        <v>4.5397276283170145</v>
      </c>
    </row>
    <row r="16" spans="2:17" ht="13.5" customHeight="1">
      <c r="B16" s="240" t="s">
        <v>35</v>
      </c>
      <c r="C16" s="248" t="s">
        <v>36</v>
      </c>
      <c r="D16" s="92">
        <v>1683934</v>
      </c>
      <c r="E16" s="93">
        <f t="shared" si="12"/>
        <v>15.113611875671848</v>
      </c>
      <c r="F16" s="92">
        <v>351556</v>
      </c>
      <c r="G16" s="93">
        <f t="shared" si="0"/>
        <v>18.181884005128389</v>
      </c>
      <c r="H16" s="92">
        <v>90346</v>
      </c>
      <c r="I16" s="93">
        <f t="shared" ref="I16:K16" si="16">100*H16/$O16</f>
        <v>4.672542901635385</v>
      </c>
      <c r="J16" s="249">
        <f t="shared" si="2"/>
        <v>-11593</v>
      </c>
      <c r="K16" s="250">
        <f t="shared" si="16"/>
        <v>-0.59957042767426361</v>
      </c>
      <c r="L16" s="92">
        <f t="shared" si="3"/>
        <v>249617</v>
      </c>
      <c r="M16" s="93">
        <f t="shared" si="4"/>
        <v>14.823443199080248</v>
      </c>
      <c r="N16" s="250">
        <f t="shared" si="5"/>
        <v>22.854426906763774</v>
      </c>
      <c r="O16" s="92">
        <v>1933551</v>
      </c>
      <c r="P16" s="93">
        <f t="shared" si="6"/>
        <v>14.654252880183897</v>
      </c>
    </row>
    <row r="17" spans="2:17" ht="2.25" customHeight="1">
      <c r="B17" s="3"/>
      <c r="C17" s="4"/>
      <c r="D17" s="5"/>
      <c r="E17" s="4"/>
      <c r="F17" s="4"/>
      <c r="G17" s="4"/>
      <c r="H17" s="4"/>
      <c r="I17" s="4"/>
      <c r="J17" s="4"/>
      <c r="K17" s="4"/>
      <c r="L17" s="4"/>
      <c r="M17" s="4"/>
      <c r="N17" s="4"/>
      <c r="O17" s="5"/>
      <c r="P17" s="4"/>
    </row>
    <row r="18" spans="2:17" ht="25.5" customHeight="1">
      <c r="B18" s="408" t="s">
        <v>547</v>
      </c>
      <c r="C18" s="408"/>
      <c r="D18" s="408"/>
      <c r="E18" s="408"/>
      <c r="F18" s="408"/>
      <c r="G18" s="408"/>
      <c r="H18" s="408"/>
      <c r="I18" s="408"/>
      <c r="J18" s="408"/>
      <c r="K18" s="408"/>
      <c r="L18" s="408"/>
      <c r="M18" s="408"/>
      <c r="N18" s="408"/>
      <c r="O18" s="408"/>
      <c r="P18" s="408"/>
    </row>
    <row r="19" spans="2:17" ht="23.25" customHeight="1">
      <c r="B19" s="393" t="s">
        <v>561</v>
      </c>
      <c r="C19" s="478"/>
      <c r="D19" s="478"/>
      <c r="E19" s="478"/>
      <c r="F19" s="478"/>
      <c r="G19" s="478"/>
      <c r="H19" s="478"/>
      <c r="I19" s="478"/>
      <c r="J19" s="478"/>
      <c r="K19" s="478"/>
      <c r="L19" s="478"/>
      <c r="M19" s="478"/>
      <c r="N19" s="478"/>
      <c r="O19" s="478"/>
      <c r="P19" s="478"/>
    </row>
    <row r="20" spans="2:17" ht="47.25" customHeight="1">
      <c r="B20" s="393" t="s">
        <v>562</v>
      </c>
      <c r="C20" s="478"/>
      <c r="D20" s="478"/>
      <c r="E20" s="478"/>
      <c r="F20" s="478"/>
      <c r="G20" s="478"/>
      <c r="H20" s="478"/>
      <c r="I20" s="478"/>
      <c r="J20" s="478"/>
      <c r="K20" s="478"/>
      <c r="L20" s="478"/>
      <c r="M20" s="478"/>
      <c r="N20" s="478"/>
      <c r="O20" s="478"/>
      <c r="P20" s="478"/>
      <c r="Q20" s="7"/>
    </row>
    <row r="21" spans="2:17">
      <c r="B21" s="310"/>
      <c r="C21" s="310"/>
      <c r="D21" s="310"/>
      <c r="E21" s="310"/>
      <c r="F21" s="310"/>
      <c r="G21" s="310"/>
      <c r="H21" s="310"/>
      <c r="I21" s="310"/>
      <c r="J21" s="310"/>
      <c r="K21" s="310"/>
      <c r="L21" s="310"/>
      <c r="M21" s="310"/>
      <c r="N21" s="310"/>
      <c r="O21" s="310"/>
      <c r="P21" s="310"/>
    </row>
  </sheetData>
  <mergeCells count="13">
    <mergeCell ref="B20:P20"/>
    <mergeCell ref="B2:G2"/>
    <mergeCell ref="B4:B5"/>
    <mergeCell ref="C4:C5"/>
    <mergeCell ref="D4:E4"/>
    <mergeCell ref="F4:G4"/>
    <mergeCell ref="B18:P18"/>
    <mergeCell ref="B3:P3"/>
    <mergeCell ref="O4:P4"/>
    <mergeCell ref="H4:I4"/>
    <mergeCell ref="J4:K4"/>
    <mergeCell ref="L4:M4"/>
    <mergeCell ref="B19:P19"/>
  </mergeCell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3FA31-DF1F-4356-8198-FFFF091C596D}">
  <sheetPr>
    <tabColor rgb="FF92D050"/>
  </sheetPr>
  <dimension ref="B1:O27"/>
  <sheetViews>
    <sheetView showGridLines="0" zoomScaleNormal="100" workbookViewId="0">
      <selection activeCell="N7" sqref="N7"/>
    </sheetView>
  </sheetViews>
  <sheetFormatPr defaultRowHeight="15" customHeight="1" outlineLevelCol="1"/>
  <cols>
    <col min="1" max="1" width="1.85546875" style="75" customWidth="1"/>
    <col min="2" max="2" width="7.85546875" style="98" customWidth="1"/>
    <col min="3" max="3" width="40.7109375" style="75" customWidth="1"/>
    <col min="4" max="4" width="13.5703125" style="75" hidden="1" customWidth="1" outlineLevel="1"/>
    <col min="5" max="5" width="7.85546875" style="75" hidden="1" customWidth="1" outlineLevel="1"/>
    <col min="6" max="6" width="10.140625" style="75" customWidth="1" collapsed="1"/>
    <col min="7" max="7" width="8.85546875" style="75" customWidth="1"/>
    <col min="8" max="8" width="8.140625" style="75" customWidth="1"/>
    <col min="9" max="9" width="7.140625" style="75" customWidth="1"/>
    <col min="10" max="10" width="7.140625" style="75" hidden="1" customWidth="1" outlineLevel="1"/>
    <col min="11" max="11" width="11.7109375" style="75" hidden="1" customWidth="1" outlineLevel="1"/>
    <col min="12" max="12" width="13.7109375" style="75" hidden="1" customWidth="1" outlineLevel="1"/>
    <col min="13" max="13" width="13" style="75" hidden="1" customWidth="1" collapsed="1"/>
    <col min="14" max="14" width="12.140625" style="75" customWidth="1"/>
    <col min="15" max="16384" width="9.140625" style="75"/>
  </cols>
  <sheetData>
    <row r="1" spans="2:15" ht="9.6" customHeight="1"/>
    <row r="2" spans="2:15" ht="37.5" customHeight="1">
      <c r="B2" s="364" t="s">
        <v>37</v>
      </c>
      <c r="C2" s="364"/>
      <c r="D2" s="364"/>
      <c r="E2" s="364"/>
      <c r="F2" s="364"/>
      <c r="G2" s="364"/>
      <c r="H2" s="364"/>
      <c r="I2" s="364"/>
      <c r="J2" s="364"/>
      <c r="K2" s="364"/>
      <c r="L2" s="364"/>
      <c r="M2" s="364"/>
    </row>
    <row r="3" spans="2:15" ht="12" customHeight="1">
      <c r="C3" s="59"/>
      <c r="D3" s="59"/>
      <c r="E3" s="59"/>
      <c r="F3" s="59"/>
      <c r="G3" s="59"/>
      <c r="H3" s="59"/>
      <c r="I3" s="59"/>
      <c r="J3" s="59"/>
    </row>
    <row r="4" spans="2:15" ht="24" customHeight="1">
      <c r="B4" s="377" t="s">
        <v>38</v>
      </c>
      <c r="C4" s="378"/>
      <c r="D4" s="370" t="s">
        <v>39</v>
      </c>
      <c r="E4" s="379"/>
      <c r="F4" s="370" t="s">
        <v>40</v>
      </c>
      <c r="G4" s="379"/>
      <c r="H4" s="380" t="s">
        <v>4</v>
      </c>
      <c r="I4" s="381"/>
      <c r="J4" s="367" t="s">
        <v>41</v>
      </c>
      <c r="K4" s="382" t="s">
        <v>42</v>
      </c>
      <c r="L4" s="362" t="s">
        <v>43</v>
      </c>
      <c r="M4" s="362" t="s">
        <v>5</v>
      </c>
      <c r="N4" s="362" t="s">
        <v>5</v>
      </c>
    </row>
    <row r="5" spans="2:15" ht="27.75" customHeight="1">
      <c r="B5" s="377"/>
      <c r="C5" s="378"/>
      <c r="D5" s="86" t="s">
        <v>6</v>
      </c>
      <c r="E5" s="87" t="s">
        <v>7</v>
      </c>
      <c r="F5" s="86" t="s">
        <v>6</v>
      </c>
      <c r="G5" s="87" t="s">
        <v>7</v>
      </c>
      <c r="H5" s="86" t="s">
        <v>6</v>
      </c>
      <c r="I5" s="87" t="s">
        <v>7</v>
      </c>
      <c r="J5" s="368"/>
      <c r="K5" s="383"/>
      <c r="L5" s="363"/>
      <c r="M5" s="363"/>
      <c r="N5" s="363"/>
    </row>
    <row r="6" spans="2:15" ht="17.25" customHeight="1">
      <c r="B6" s="99"/>
      <c r="C6" s="99" t="s">
        <v>8</v>
      </c>
      <c r="D6" s="101">
        <v>13299332</v>
      </c>
      <c r="E6" s="102">
        <f t="shared" ref="E6:E22" si="0">D6/$D$6*100</f>
        <v>100</v>
      </c>
      <c r="F6" s="101">
        <v>13194470</v>
      </c>
      <c r="G6" s="102">
        <v>100</v>
      </c>
      <c r="H6" s="101">
        <v>104862</v>
      </c>
      <c r="I6" s="102">
        <v>100</v>
      </c>
      <c r="J6" s="101">
        <v>5748599</v>
      </c>
      <c r="K6" s="101">
        <v>55296012</v>
      </c>
      <c r="L6" s="102">
        <v>69.820349517225779</v>
      </c>
      <c r="M6" s="102">
        <v>19.235226810729312</v>
      </c>
      <c r="N6" s="335">
        <f>(D6/(D6+K6))*100</f>
        <v>19.388097244617654</v>
      </c>
    </row>
    <row r="7" spans="2:15" ht="24">
      <c r="B7" s="98">
        <v>96025</v>
      </c>
      <c r="C7" s="103" t="s">
        <v>44</v>
      </c>
      <c r="D7" s="104">
        <v>1201414</v>
      </c>
      <c r="E7" s="105">
        <f t="shared" si="0"/>
        <v>9.0336416896728355</v>
      </c>
      <c r="F7" s="104">
        <v>1197209</v>
      </c>
      <c r="G7" s="105">
        <v>9.0735664259345015</v>
      </c>
      <c r="H7" s="104">
        <v>4205</v>
      </c>
      <c r="I7" s="105">
        <v>4.0100322328393512</v>
      </c>
      <c r="J7" s="104">
        <v>39470</v>
      </c>
      <c r="K7" s="104">
        <v>124246</v>
      </c>
      <c r="L7" s="105">
        <v>96.819203084252834</v>
      </c>
      <c r="M7" s="105">
        <v>90.31041141770892</v>
      </c>
      <c r="N7" s="334">
        <f t="shared" ref="N7:N22" si="1">(D7/(D7+K7))*100</f>
        <v>90.627611906522034</v>
      </c>
      <c r="O7" s="333"/>
    </row>
    <row r="8" spans="2:15" ht="24">
      <c r="B8" s="98">
        <v>73190</v>
      </c>
      <c r="C8" s="103" t="s">
        <v>48</v>
      </c>
      <c r="D8" s="104">
        <v>529019</v>
      </c>
      <c r="E8" s="105">
        <f>D8/$D$6*100</f>
        <v>3.9777862527230692</v>
      </c>
      <c r="F8" s="104">
        <v>527661</v>
      </c>
      <c r="G8" s="105">
        <v>3.9991072017292093</v>
      </c>
      <c r="H8" s="104">
        <v>1358</v>
      </c>
      <c r="I8" s="105">
        <v>1.2950353798325418</v>
      </c>
      <c r="J8" s="104">
        <v>54020</v>
      </c>
      <c r="K8" s="104">
        <v>156131</v>
      </c>
      <c r="L8" s="105">
        <v>90.734753592812837</v>
      </c>
      <c r="M8" s="105">
        <v>77.013938553601406</v>
      </c>
      <c r="N8" s="334">
        <f t="shared" si="1"/>
        <v>77.21214332627892</v>
      </c>
      <c r="O8" s="333"/>
    </row>
    <row r="9" spans="2:15" ht="24">
      <c r="B9" s="98">
        <v>43991</v>
      </c>
      <c r="C9" s="103" t="s">
        <v>47</v>
      </c>
      <c r="D9" s="104">
        <v>607318</v>
      </c>
      <c r="E9" s="105">
        <f>D9/$D$6*100</f>
        <v>4.5665301084295065</v>
      </c>
      <c r="F9" s="104">
        <v>605470</v>
      </c>
      <c r="G9" s="105">
        <v>4.5888163753451252</v>
      </c>
      <c r="H9" s="104">
        <v>1848</v>
      </c>
      <c r="I9" s="105">
        <v>1.7623161869886137</v>
      </c>
      <c r="J9" s="104">
        <v>29519</v>
      </c>
      <c r="K9" s="104">
        <v>213993</v>
      </c>
      <c r="L9" s="105">
        <v>95.364747965334928</v>
      </c>
      <c r="M9" s="105">
        <v>73.719942871823221</v>
      </c>
      <c r="N9" s="334">
        <f t="shared" si="1"/>
        <v>73.944948990090225</v>
      </c>
      <c r="O9" s="333"/>
    </row>
    <row r="10" spans="2:15" ht="12">
      <c r="B10" s="98">
        <v>47237</v>
      </c>
      <c r="C10" s="103" t="s">
        <v>57</v>
      </c>
      <c r="D10" s="104">
        <v>254438</v>
      </c>
      <c r="E10" s="105">
        <f>D10/$D$6*100</f>
        <v>1.9131637589015749</v>
      </c>
      <c r="F10" s="104">
        <v>252817</v>
      </c>
      <c r="G10" s="105">
        <v>1.916083025691824</v>
      </c>
      <c r="H10" s="104">
        <v>1621</v>
      </c>
      <c r="I10" s="105">
        <v>1.5458412008163109</v>
      </c>
      <c r="J10" s="104">
        <v>32812</v>
      </c>
      <c r="K10" s="104">
        <v>89724</v>
      </c>
      <c r="L10" s="105">
        <v>88.577197563098338</v>
      </c>
      <c r="M10" s="105">
        <v>73.458720021385275</v>
      </c>
      <c r="N10" s="334">
        <f t="shared" si="1"/>
        <v>73.929719143891532</v>
      </c>
      <c r="O10" s="333"/>
    </row>
    <row r="11" spans="2:15" ht="12">
      <c r="B11" s="98">
        <v>43304</v>
      </c>
      <c r="C11" s="103" t="s">
        <v>55</v>
      </c>
      <c r="D11" s="104">
        <v>287732</v>
      </c>
      <c r="E11" s="105">
        <f>D11/$D$6*100</f>
        <v>2.1635071596077156</v>
      </c>
      <c r="F11" s="104">
        <v>286590</v>
      </c>
      <c r="G11" s="105">
        <v>2.1720463194050232</v>
      </c>
      <c r="H11" s="104">
        <v>1142</v>
      </c>
      <c r="I11" s="105">
        <v>1.0890503709637427</v>
      </c>
      <c r="J11" s="104">
        <v>27008</v>
      </c>
      <c r="K11" s="104">
        <v>138479</v>
      </c>
      <c r="L11" s="105">
        <v>91.418948973756116</v>
      </c>
      <c r="M11" s="105">
        <v>67.241342902928352</v>
      </c>
      <c r="N11" s="334">
        <f t="shared" si="1"/>
        <v>67.509285307042759</v>
      </c>
      <c r="O11" s="333"/>
    </row>
    <row r="12" spans="2:15" ht="24">
      <c r="B12" s="98">
        <v>56201</v>
      </c>
      <c r="C12" s="103" t="s">
        <v>49</v>
      </c>
      <c r="D12" s="104">
        <v>470229</v>
      </c>
      <c r="E12" s="105">
        <f t="shared" si="0"/>
        <v>3.5357339752101833</v>
      </c>
      <c r="F12" s="104">
        <v>467804</v>
      </c>
      <c r="G12" s="105">
        <v>3.5454550277502621</v>
      </c>
      <c r="H12" s="104">
        <v>2425</v>
      </c>
      <c r="I12" s="105">
        <v>2.3125631782723963</v>
      </c>
      <c r="J12" s="104">
        <v>27023</v>
      </c>
      <c r="K12" s="104">
        <v>301492</v>
      </c>
      <c r="L12" s="105">
        <v>94.565532164777622</v>
      </c>
      <c r="M12" s="105">
        <v>60.618280440729222</v>
      </c>
      <c r="N12" s="334">
        <f t="shared" si="1"/>
        <v>60.932513175098258</v>
      </c>
      <c r="O12" s="333"/>
    </row>
    <row r="13" spans="2:15" ht="24">
      <c r="B13" s="98">
        <v>82199</v>
      </c>
      <c r="C13" s="103" t="s">
        <v>58</v>
      </c>
      <c r="D13" s="104">
        <v>250048</v>
      </c>
      <c r="E13" s="105">
        <f>D13/$D$6*100</f>
        <v>1.8801545822000685</v>
      </c>
      <c r="F13" s="104">
        <v>248185</v>
      </c>
      <c r="G13" s="105">
        <v>1.8809774094753331</v>
      </c>
      <c r="H13" s="104">
        <v>1863</v>
      </c>
      <c r="I13" s="105">
        <v>1.7766207014933915</v>
      </c>
      <c r="J13" s="104">
        <v>46272</v>
      </c>
      <c r="K13" s="104">
        <v>165405</v>
      </c>
      <c r="L13" s="105">
        <v>84.384449244060477</v>
      </c>
      <c r="M13" s="105">
        <v>59.738406029081503</v>
      </c>
      <c r="N13" s="334">
        <f t="shared" si="1"/>
        <v>60.186832204846276</v>
      </c>
      <c r="O13" s="333"/>
    </row>
    <row r="14" spans="2:15" ht="24">
      <c r="B14" s="98">
        <v>45200</v>
      </c>
      <c r="C14" s="103" t="s">
        <v>50</v>
      </c>
      <c r="D14" s="104">
        <v>421822</v>
      </c>
      <c r="E14" s="105">
        <f t="shared" si="0"/>
        <v>3.1717532880598815</v>
      </c>
      <c r="F14" s="104">
        <v>415121</v>
      </c>
      <c r="G14" s="105">
        <v>3.1461741168838162</v>
      </c>
      <c r="H14" s="104">
        <v>6701</v>
      </c>
      <c r="I14" s="105">
        <v>6.3903034464343618</v>
      </c>
      <c r="J14" s="104">
        <v>80239</v>
      </c>
      <c r="K14" s="104">
        <v>309907</v>
      </c>
      <c r="L14" s="105">
        <v>84.01807748460844</v>
      </c>
      <c r="M14" s="105">
        <v>56.731522189225792</v>
      </c>
      <c r="N14" s="334">
        <f t="shared" si="1"/>
        <v>57.647298385057852</v>
      </c>
      <c r="O14" s="333"/>
    </row>
    <row r="15" spans="2:15" ht="24">
      <c r="B15" s="98">
        <v>47814</v>
      </c>
      <c r="C15" s="103" t="s">
        <v>45</v>
      </c>
      <c r="D15" s="104">
        <v>951409</v>
      </c>
      <c r="E15" s="105">
        <f>D15/$D$6*100</f>
        <v>7.153810431982599</v>
      </c>
      <c r="F15" s="104">
        <v>939647</v>
      </c>
      <c r="G15" s="105">
        <v>7.1215213646323035</v>
      </c>
      <c r="H15" s="104">
        <v>11762</v>
      </c>
      <c r="I15" s="105">
        <v>11.21664664034636</v>
      </c>
      <c r="J15" s="104">
        <v>160745</v>
      </c>
      <c r="K15" s="104">
        <v>769173</v>
      </c>
      <c r="L15" s="105">
        <v>85.546516040044821</v>
      </c>
      <c r="M15" s="105">
        <v>54.61216030389717</v>
      </c>
      <c r="N15" s="334">
        <f t="shared" si="1"/>
        <v>55.295766200041619</v>
      </c>
      <c r="O15" s="333"/>
    </row>
    <row r="16" spans="2:15" ht="24">
      <c r="B16" s="98">
        <v>85996</v>
      </c>
      <c r="C16" s="103" t="s">
        <v>51</v>
      </c>
      <c r="D16" s="104">
        <v>382369</v>
      </c>
      <c r="E16" s="105">
        <f t="shared" si="0"/>
        <v>2.8750992907012174</v>
      </c>
      <c r="F16" s="104">
        <v>381023</v>
      </c>
      <c r="G16" s="105">
        <v>2.8877476700466183</v>
      </c>
      <c r="H16" s="104">
        <v>1346</v>
      </c>
      <c r="I16" s="105">
        <v>1.2835917682287197</v>
      </c>
      <c r="J16" s="104">
        <v>74441</v>
      </c>
      <c r="K16" s="104">
        <v>399610</v>
      </c>
      <c r="L16" s="105">
        <v>83.704165845756435</v>
      </c>
      <c r="M16" s="105">
        <v>48.725477282638025</v>
      </c>
      <c r="N16" s="334">
        <f t="shared" si="1"/>
        <v>48.897604667133002</v>
      </c>
      <c r="O16" s="333"/>
    </row>
    <row r="17" spans="2:14" ht="24">
      <c r="B17" s="98">
        <v>47890</v>
      </c>
      <c r="C17" s="103" t="s">
        <v>53</v>
      </c>
      <c r="D17" s="104">
        <v>317089</v>
      </c>
      <c r="E17" s="105">
        <f>D17/$D$6*100</f>
        <v>2.3842475697275622</v>
      </c>
      <c r="F17" s="104">
        <v>312646</v>
      </c>
      <c r="G17" s="105">
        <v>2.369522989555473</v>
      </c>
      <c r="H17" s="104">
        <v>4443</v>
      </c>
      <c r="I17" s="105">
        <v>4.2369971963151576</v>
      </c>
      <c r="J17" s="104">
        <v>125205</v>
      </c>
      <c r="K17" s="104">
        <v>497430</v>
      </c>
      <c r="L17" s="105">
        <v>71.691906288577272</v>
      </c>
      <c r="M17" s="105">
        <v>38.384126091595164</v>
      </c>
      <c r="N17" s="334">
        <f t="shared" si="1"/>
        <v>38.929601396652501</v>
      </c>
    </row>
    <row r="18" spans="2:14" ht="24">
      <c r="B18" s="98">
        <v>56112</v>
      </c>
      <c r="C18" s="103" t="s">
        <v>46</v>
      </c>
      <c r="D18" s="104">
        <v>836317</v>
      </c>
      <c r="E18" s="105">
        <f>D18/$D$6*100</f>
        <v>6.2884135834792296</v>
      </c>
      <c r="F18" s="104">
        <v>827345</v>
      </c>
      <c r="G18" s="105">
        <v>6.2703920657669459</v>
      </c>
      <c r="H18" s="104">
        <v>8972</v>
      </c>
      <c r="I18" s="105">
        <v>8.5560069424577065</v>
      </c>
      <c r="J18" s="104">
        <v>222959</v>
      </c>
      <c r="K18" s="104">
        <v>1382777</v>
      </c>
      <c r="L18" s="105">
        <v>78.951755727496902</v>
      </c>
      <c r="M18" s="105">
        <v>37.283008290770923</v>
      </c>
      <c r="N18" s="334">
        <f t="shared" si="1"/>
        <v>37.68731743675572</v>
      </c>
    </row>
    <row r="19" spans="2:14" ht="24">
      <c r="B19" s="98">
        <v>14126</v>
      </c>
      <c r="C19" s="103" t="s">
        <v>56</v>
      </c>
      <c r="D19" s="104">
        <v>266979</v>
      </c>
      <c r="E19" s="105">
        <f>D19/$D$6*100</f>
        <v>2.007461728152963</v>
      </c>
      <c r="F19" s="104">
        <v>265351</v>
      </c>
      <c r="G19" s="105">
        <v>2.0110773680185714</v>
      </c>
      <c r="H19" s="104">
        <v>1628</v>
      </c>
      <c r="I19" s="105">
        <v>1.5525166409185407</v>
      </c>
      <c r="J19" s="104">
        <v>40849</v>
      </c>
      <c r="K19" s="104">
        <v>454627</v>
      </c>
      <c r="L19" s="105" t="e">
        <v>#N/A</v>
      </c>
      <c r="M19" s="105">
        <v>36.772282935563169</v>
      </c>
      <c r="N19" s="334">
        <f t="shared" si="1"/>
        <v>36.997890815763732</v>
      </c>
    </row>
    <row r="20" spans="2:14" ht="36">
      <c r="B20" s="98">
        <v>47121</v>
      </c>
      <c r="C20" s="103" t="s">
        <v>54</v>
      </c>
      <c r="D20" s="104">
        <v>295590</v>
      </c>
      <c r="E20" s="105">
        <f>D20/$D$6*100</f>
        <v>2.2225928339859475</v>
      </c>
      <c r="F20" s="104">
        <v>292157</v>
      </c>
      <c r="G20" s="105">
        <v>2.2142382376859397</v>
      </c>
      <c r="H20" s="104">
        <v>3433</v>
      </c>
      <c r="I20" s="105">
        <v>3.2738265529934578</v>
      </c>
      <c r="J20" s="104">
        <v>137059</v>
      </c>
      <c r="K20" s="104">
        <v>518932</v>
      </c>
      <c r="L20" s="105">
        <v>68.320971503458921</v>
      </c>
      <c r="M20" s="105">
        <v>35.868521660556745</v>
      </c>
      <c r="N20" s="334">
        <f t="shared" si="1"/>
        <v>36.289995850326939</v>
      </c>
    </row>
    <row r="21" spans="2:14" ht="12">
      <c r="B21" s="98">
        <v>49302</v>
      </c>
      <c r="C21" s="103" t="s">
        <v>52</v>
      </c>
      <c r="D21" s="104">
        <v>338306</v>
      </c>
      <c r="E21" s="105">
        <f t="shared" si="0"/>
        <v>2.5437818982186475</v>
      </c>
      <c r="F21" s="104">
        <v>336165</v>
      </c>
      <c r="G21" s="105">
        <v>2.5477719074733582</v>
      </c>
      <c r="H21" s="104">
        <v>2141</v>
      </c>
      <c r="I21" s="105">
        <v>2.0417310369819379</v>
      </c>
      <c r="J21" s="104">
        <v>150288</v>
      </c>
      <c r="K21" s="104">
        <v>1224200</v>
      </c>
      <c r="L21" s="105">
        <v>69.240719288407149</v>
      </c>
      <c r="M21" s="105">
        <v>21.514477384406845</v>
      </c>
      <c r="N21" s="334">
        <f t="shared" si="1"/>
        <v>21.651500858236705</v>
      </c>
    </row>
    <row r="22" spans="2:14" ht="12">
      <c r="B22" s="100"/>
      <c r="C22" s="95" t="s">
        <v>59</v>
      </c>
      <c r="D22" s="92">
        <f t="shared" ref="D22" si="2">F22+H22</f>
        <v>5889253</v>
      </c>
      <c r="E22" s="96">
        <f t="shared" si="0"/>
        <v>44.282321848946999</v>
      </c>
      <c r="F22" s="97">
        <v>5839279</v>
      </c>
      <c r="G22" s="93">
        <v>44.2555024946057</v>
      </c>
      <c r="H22" s="97">
        <v>49974</v>
      </c>
      <c r="I22" s="93">
        <v>47.65692052411741</v>
      </c>
      <c r="J22" s="97">
        <v>4500690</v>
      </c>
      <c r="K22" s="97">
        <v>48549886</v>
      </c>
      <c r="L22" s="96" t="e">
        <v>#N/A</v>
      </c>
      <c r="M22" s="93">
        <v>10.726251566910344</v>
      </c>
      <c r="N22" s="336">
        <f t="shared" si="1"/>
        <v>10.818049491928958</v>
      </c>
    </row>
    <row r="23" spans="2:14" ht="26.25" customHeight="1">
      <c r="B23" s="374" t="s">
        <v>547</v>
      </c>
      <c r="C23" s="374"/>
      <c r="D23" s="374"/>
      <c r="E23" s="374"/>
      <c r="F23" s="374"/>
      <c r="G23" s="374"/>
      <c r="H23" s="374"/>
      <c r="I23" s="374"/>
      <c r="J23" s="374"/>
      <c r="K23" s="374"/>
      <c r="L23" s="374"/>
      <c r="M23" s="374"/>
      <c r="N23" s="374"/>
    </row>
    <row r="24" spans="2:14" ht="15.75" customHeight="1">
      <c r="B24" s="375" t="s">
        <v>548</v>
      </c>
      <c r="C24" s="375"/>
      <c r="D24" s="375"/>
      <c r="E24" s="375"/>
      <c r="F24" s="375"/>
      <c r="G24" s="375"/>
      <c r="H24" s="375"/>
      <c r="I24" s="375"/>
      <c r="J24" s="375"/>
      <c r="K24" s="375"/>
      <c r="L24" s="375"/>
      <c r="M24" s="375"/>
      <c r="N24" s="375"/>
    </row>
    <row r="25" spans="2:14" ht="51" customHeight="1">
      <c r="B25" s="376" t="s">
        <v>549</v>
      </c>
      <c r="C25" s="376"/>
      <c r="D25" s="376"/>
      <c r="E25" s="376"/>
      <c r="F25" s="376"/>
      <c r="G25" s="376"/>
      <c r="H25" s="376"/>
      <c r="I25" s="376"/>
      <c r="J25" s="376"/>
      <c r="K25" s="376"/>
      <c r="L25" s="376"/>
      <c r="M25" s="376"/>
      <c r="N25" s="376"/>
    </row>
    <row r="26" spans="2:14" ht="36.75" customHeight="1">
      <c r="B26" s="373"/>
      <c r="C26" s="373"/>
      <c r="D26" s="373"/>
      <c r="E26" s="373"/>
      <c r="F26" s="373"/>
      <c r="G26" s="373"/>
      <c r="H26" s="373"/>
      <c r="I26" s="373"/>
      <c r="J26" s="373"/>
      <c r="K26" s="373"/>
      <c r="L26" s="373"/>
      <c r="M26" s="373"/>
    </row>
    <row r="27" spans="2:14" ht="48" customHeight="1">
      <c r="B27" s="373"/>
      <c r="C27" s="373"/>
      <c r="D27" s="373"/>
      <c r="E27" s="373"/>
      <c r="F27" s="373"/>
      <c r="G27" s="373"/>
      <c r="H27" s="373"/>
      <c r="I27" s="373"/>
      <c r="J27" s="373"/>
      <c r="K27" s="373"/>
      <c r="L27" s="373"/>
      <c r="M27" s="373"/>
    </row>
  </sheetData>
  <mergeCells count="15">
    <mergeCell ref="B2:M2"/>
    <mergeCell ref="B4:C5"/>
    <mergeCell ref="D4:E4"/>
    <mergeCell ref="F4:G4"/>
    <mergeCell ref="H4:I4"/>
    <mergeCell ref="J4:J5"/>
    <mergeCell ref="K4:K5"/>
    <mergeCell ref="L4:L5"/>
    <mergeCell ref="M4:M5"/>
    <mergeCell ref="N4:N5"/>
    <mergeCell ref="B26:M26"/>
    <mergeCell ref="B27:M27"/>
    <mergeCell ref="B23:N23"/>
    <mergeCell ref="B24:N24"/>
    <mergeCell ref="B25:N25"/>
  </mergeCells>
  <pageMargins left="0.511811024" right="0.511811024" top="0.78740157499999996" bottom="0.78740157499999996" header="0.31496062000000002" footer="0.31496062000000002"/>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58752-3C5D-468F-8BEC-A3515B8373DA}">
  <sheetPr>
    <tabColor rgb="FF92D050"/>
  </sheetPr>
  <dimension ref="B2:E27"/>
  <sheetViews>
    <sheetView showGridLines="0" workbookViewId="0">
      <selection activeCell="I15" sqref="I15"/>
    </sheetView>
  </sheetViews>
  <sheetFormatPr defaultRowHeight="12"/>
  <cols>
    <col min="1" max="1" width="3" style="75" customWidth="1"/>
    <col min="2" max="2" width="42.85546875" style="75" customWidth="1"/>
    <col min="3" max="3" width="18.42578125" style="75" customWidth="1"/>
    <col min="4" max="4" width="13" style="75" customWidth="1"/>
    <col min="5" max="5" width="15.7109375" style="75" customWidth="1"/>
    <col min="6" max="16384" width="9.140625" style="75"/>
  </cols>
  <sheetData>
    <row r="2" spans="2:5" ht="22.5" customHeight="1">
      <c r="B2" s="425" t="s">
        <v>270</v>
      </c>
      <c r="C2" s="425"/>
      <c r="D2" s="425"/>
      <c r="E2" s="425"/>
    </row>
    <row r="3" spans="2:5" hidden="1">
      <c r="B3" s="147"/>
      <c r="C3" s="147"/>
      <c r="D3" s="147"/>
      <c r="E3" s="147"/>
    </row>
    <row r="4" spans="2:5">
      <c r="B4" s="51"/>
      <c r="C4" s="51"/>
    </row>
    <row r="5" spans="2:5" ht="32.25" customHeight="1">
      <c r="B5" s="86" t="s">
        <v>243</v>
      </c>
      <c r="C5" s="107" t="s">
        <v>271</v>
      </c>
      <c r="D5" s="107" t="s">
        <v>518</v>
      </c>
      <c r="E5" s="107" t="s">
        <v>272</v>
      </c>
    </row>
    <row r="6" spans="2:5" ht="15.75" customHeight="1">
      <c r="B6" s="137" t="s">
        <v>273</v>
      </c>
    </row>
    <row r="7" spans="2:5" ht="15.75" customHeight="1">
      <c r="B7" s="123" t="s">
        <v>8</v>
      </c>
      <c r="C7" s="139">
        <v>51.6</v>
      </c>
      <c r="D7" s="140">
        <v>1182878</v>
      </c>
      <c r="E7" s="140">
        <v>610620</v>
      </c>
    </row>
    <row r="8" spans="2:5" ht="15.75" customHeight="1">
      <c r="B8" s="138" t="s">
        <v>114</v>
      </c>
      <c r="C8" s="141"/>
      <c r="D8" s="140"/>
      <c r="E8" s="140"/>
    </row>
    <row r="9" spans="2:5" ht="15.75" customHeight="1">
      <c r="B9" s="142" t="s">
        <v>124</v>
      </c>
      <c r="C9" s="141">
        <v>52.1</v>
      </c>
      <c r="D9" s="140">
        <v>608680</v>
      </c>
      <c r="E9" s="140">
        <v>317064</v>
      </c>
    </row>
    <row r="10" spans="2:5" ht="15.75" customHeight="1">
      <c r="B10" s="142" t="s">
        <v>125</v>
      </c>
      <c r="C10" s="141">
        <v>51.1</v>
      </c>
      <c r="D10" s="140">
        <v>574198</v>
      </c>
      <c r="E10" s="140">
        <v>293556</v>
      </c>
    </row>
    <row r="11" spans="2:5" ht="15.75" customHeight="1">
      <c r="B11" s="138" t="s">
        <v>274</v>
      </c>
      <c r="C11" s="141"/>
      <c r="D11" s="140"/>
      <c r="E11" s="140"/>
    </row>
    <row r="12" spans="2:5" ht="22.5" customHeight="1">
      <c r="B12" s="114" t="s">
        <v>10</v>
      </c>
      <c r="C12" s="143">
        <v>48.2</v>
      </c>
      <c r="D12" s="146">
        <v>628</v>
      </c>
      <c r="E12" s="146">
        <v>303</v>
      </c>
    </row>
    <row r="13" spans="2:5" ht="15.75" customHeight="1">
      <c r="B13" s="142" t="s">
        <v>12</v>
      </c>
      <c r="C13" s="143">
        <v>54.4</v>
      </c>
      <c r="D13" s="146">
        <v>139285</v>
      </c>
      <c r="E13" s="146">
        <v>75726</v>
      </c>
    </row>
    <row r="14" spans="2:5" ht="15.75" customHeight="1">
      <c r="B14" s="114" t="s">
        <v>21</v>
      </c>
      <c r="C14" s="143">
        <v>55.8</v>
      </c>
      <c r="D14" s="146">
        <v>127143</v>
      </c>
      <c r="E14" s="146">
        <v>70994</v>
      </c>
    </row>
    <row r="15" spans="2:5" ht="24.75" customHeight="1">
      <c r="B15" s="142" t="s">
        <v>23</v>
      </c>
      <c r="C15" s="143">
        <v>48.8</v>
      </c>
      <c r="D15" s="146">
        <v>437520</v>
      </c>
      <c r="E15" s="146">
        <v>213516</v>
      </c>
    </row>
    <row r="16" spans="2:5" ht="15.75" customHeight="1">
      <c r="B16" s="142" t="s">
        <v>25</v>
      </c>
      <c r="C16" s="143">
        <v>52.3</v>
      </c>
      <c r="D16" s="146">
        <v>478302</v>
      </c>
      <c r="E16" s="146">
        <v>250081</v>
      </c>
    </row>
    <row r="17" spans="2:5" ht="15.75" customHeight="1">
      <c r="B17" s="138" t="s">
        <v>543</v>
      </c>
      <c r="C17" s="143"/>
      <c r="D17" s="140"/>
      <c r="E17" s="140"/>
    </row>
    <row r="18" spans="2:5" ht="15.75" customHeight="1">
      <c r="B18" s="117" t="s">
        <v>123</v>
      </c>
      <c r="C18" s="143">
        <v>41.3</v>
      </c>
      <c r="D18" s="140">
        <v>371544</v>
      </c>
      <c r="E18" s="140">
        <v>153549</v>
      </c>
    </row>
    <row r="19" spans="2:5" ht="15.75" customHeight="1">
      <c r="B19" s="117" t="s">
        <v>127</v>
      </c>
      <c r="C19" s="143">
        <v>51.7</v>
      </c>
      <c r="D19" s="140">
        <v>383705</v>
      </c>
      <c r="E19" s="140">
        <v>198464</v>
      </c>
    </row>
    <row r="20" spans="2:5" ht="15.75" customHeight="1">
      <c r="B20" s="117" t="s">
        <v>128</v>
      </c>
      <c r="C20" s="143">
        <v>61.2</v>
      </c>
      <c r="D20" s="140">
        <v>247978</v>
      </c>
      <c r="E20" s="140">
        <v>151646</v>
      </c>
    </row>
    <row r="21" spans="2:5" ht="15.75" customHeight="1">
      <c r="B21" s="117" t="s">
        <v>126</v>
      </c>
      <c r="C21" s="143">
        <v>59.5</v>
      </c>
      <c r="D21" s="140">
        <v>179651</v>
      </c>
      <c r="E21" s="140">
        <v>106961</v>
      </c>
    </row>
    <row r="22" spans="2:5" ht="15.75" customHeight="1">
      <c r="B22" s="275" t="s">
        <v>131</v>
      </c>
      <c r="C22" s="143"/>
      <c r="D22" s="140"/>
      <c r="E22" s="140"/>
    </row>
    <row r="23" spans="2:5" ht="15.75" customHeight="1">
      <c r="B23" s="117" t="s">
        <v>133</v>
      </c>
      <c r="C23" s="143">
        <v>51.6</v>
      </c>
      <c r="D23" s="140">
        <v>1177646</v>
      </c>
      <c r="E23" s="140">
        <v>607735</v>
      </c>
    </row>
    <row r="24" spans="2:5">
      <c r="B24" s="144" t="s">
        <v>134</v>
      </c>
      <c r="C24" s="277">
        <v>55.1</v>
      </c>
      <c r="D24" s="145">
        <v>5232</v>
      </c>
      <c r="E24" s="145">
        <v>2885</v>
      </c>
    </row>
    <row r="25" spans="2:5" ht="3.75" customHeight="1">
      <c r="B25" s="117"/>
      <c r="C25" s="276"/>
      <c r="D25" s="140"/>
      <c r="E25" s="140"/>
    </row>
    <row r="26" spans="2:5" ht="23.25" customHeight="1">
      <c r="B26" s="376" t="s">
        <v>547</v>
      </c>
      <c r="C26" s="376"/>
      <c r="D26" s="376"/>
      <c r="E26" s="376"/>
    </row>
    <row r="27" spans="2:5" ht="24.75" customHeight="1">
      <c r="B27" s="411" t="s">
        <v>563</v>
      </c>
      <c r="C27" s="411"/>
      <c r="D27" s="411"/>
      <c r="E27" s="411"/>
    </row>
  </sheetData>
  <mergeCells count="3">
    <mergeCell ref="B2:E2"/>
    <mergeCell ref="B26:E26"/>
    <mergeCell ref="B27:E27"/>
  </mergeCells>
  <pageMargins left="0.511811024" right="0.511811024" top="0.78740157499999996" bottom="0.78740157499999996" header="0.31496062000000002" footer="0.31496062000000002"/>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7F984-F16C-4D11-91E0-608E2AE86A58}">
  <sheetPr>
    <tabColor rgb="FF92D050"/>
  </sheetPr>
  <dimension ref="C2:E34"/>
  <sheetViews>
    <sheetView showGridLines="0" zoomScaleNormal="100" workbookViewId="0">
      <selection activeCell="G11" sqref="G11"/>
    </sheetView>
  </sheetViews>
  <sheetFormatPr defaultRowHeight="12"/>
  <cols>
    <col min="1" max="2" width="9.140625" style="75"/>
    <col min="3" max="3" width="31" style="75" customWidth="1"/>
    <col min="4" max="4" width="27.5703125" style="75" customWidth="1"/>
    <col min="5" max="5" width="28" style="75" customWidth="1"/>
    <col min="6" max="16384" width="9.140625" style="75"/>
  </cols>
  <sheetData>
    <row r="2" spans="3:5" ht="26.25" customHeight="1">
      <c r="C2" s="479" t="s">
        <v>608</v>
      </c>
      <c r="D2" s="479"/>
      <c r="E2" s="479"/>
    </row>
    <row r="4" spans="3:5" ht="24">
      <c r="C4" s="351" t="s">
        <v>567</v>
      </c>
      <c r="D4" s="352" t="s">
        <v>568</v>
      </c>
      <c r="E4" s="353" t="s">
        <v>569</v>
      </c>
    </row>
    <row r="5" spans="3:5">
      <c r="C5" s="354" t="s">
        <v>287</v>
      </c>
      <c r="D5" s="355">
        <v>17.363860628179708</v>
      </c>
      <c r="E5" s="355">
        <v>27.182402930924848</v>
      </c>
    </row>
    <row r="6" spans="3:5">
      <c r="C6" s="354" t="s">
        <v>288</v>
      </c>
      <c r="D6" s="355">
        <v>26.023814814491697</v>
      </c>
      <c r="E6" s="355">
        <v>11.529943984108494</v>
      </c>
    </row>
    <row r="7" spans="3:5">
      <c r="C7" s="354" t="s">
        <v>289</v>
      </c>
      <c r="D7" s="355">
        <v>20.570735021069027</v>
      </c>
      <c r="E7" s="355">
        <v>11.080293486589458</v>
      </c>
    </row>
    <row r="8" spans="3:5">
      <c r="C8" s="354" t="s">
        <v>290</v>
      </c>
      <c r="D8" s="355">
        <v>18.454653352590963</v>
      </c>
      <c r="E8" s="355">
        <v>6.258697772627472</v>
      </c>
    </row>
    <row r="9" spans="3:5">
      <c r="C9" s="354" t="s">
        <v>291</v>
      </c>
      <c r="D9" s="355">
        <v>19.00819644053346</v>
      </c>
      <c r="E9" s="355">
        <v>6.0560371125175925</v>
      </c>
    </row>
    <row r="10" spans="3:5">
      <c r="C10" s="354" t="s">
        <v>292</v>
      </c>
      <c r="D10" s="355">
        <v>22.652374185612011</v>
      </c>
      <c r="E10" s="355">
        <v>5.3424427051636023</v>
      </c>
    </row>
    <row r="11" spans="3:5">
      <c r="C11" s="354" t="s">
        <v>293</v>
      </c>
      <c r="D11" s="355">
        <v>16.077900524653746</v>
      </c>
      <c r="E11" s="355">
        <v>4.3055386082199592</v>
      </c>
    </row>
    <row r="12" spans="3:5">
      <c r="C12" s="354" t="s">
        <v>294</v>
      </c>
      <c r="D12" s="355">
        <v>22.355117803441452</v>
      </c>
      <c r="E12" s="355">
        <v>3.4917961843105485</v>
      </c>
    </row>
    <row r="13" spans="3:5">
      <c r="C13" s="354" t="s">
        <v>295</v>
      </c>
      <c r="D13" s="355">
        <v>19.325447083859096</v>
      </c>
      <c r="E13" s="355">
        <v>3.128204467477663</v>
      </c>
    </row>
    <row r="14" spans="3:5">
      <c r="C14" s="354" t="s">
        <v>296</v>
      </c>
      <c r="D14" s="355">
        <v>18.694292227718279</v>
      </c>
      <c r="E14" s="355">
        <v>3.0602517569860708</v>
      </c>
    </row>
    <row r="15" spans="3:5">
      <c r="C15" s="354" t="s">
        <v>297</v>
      </c>
      <c r="D15" s="355">
        <v>24.828232331648429</v>
      </c>
      <c r="E15" s="355">
        <v>2.5407386579377573</v>
      </c>
    </row>
    <row r="16" spans="3:5">
      <c r="C16" s="354" t="s">
        <v>298</v>
      </c>
      <c r="D16" s="355">
        <v>19.994417028480811</v>
      </c>
      <c r="E16" s="355">
        <v>2.1768362048646139</v>
      </c>
    </row>
    <row r="17" spans="3:5">
      <c r="C17" s="354" t="s">
        <v>299</v>
      </c>
      <c r="D17" s="355">
        <v>10.861579699701673</v>
      </c>
      <c r="E17" s="355">
        <v>1.7535755509694593</v>
      </c>
    </row>
    <row r="18" spans="3:5">
      <c r="C18" s="354" t="s">
        <v>300</v>
      </c>
      <c r="D18" s="355">
        <v>20.658717820134544</v>
      </c>
      <c r="E18" s="355">
        <v>1.7453145143382038</v>
      </c>
    </row>
    <row r="19" spans="3:5">
      <c r="C19" s="354" t="s">
        <v>301</v>
      </c>
      <c r="D19" s="355">
        <v>22.375242835588423</v>
      </c>
      <c r="E19" s="355">
        <v>1.3914314102802159</v>
      </c>
    </row>
    <row r="20" spans="3:5">
      <c r="C20" s="354" t="s">
        <v>302</v>
      </c>
      <c r="D20" s="355">
        <v>20.491644689108728</v>
      </c>
      <c r="E20" s="355">
        <v>1.3485270723265126</v>
      </c>
    </row>
    <row r="21" spans="3:5">
      <c r="C21" s="354" t="s">
        <v>303</v>
      </c>
      <c r="D21" s="355">
        <v>20.163386834609977</v>
      </c>
      <c r="E21" s="355">
        <v>1.2297424602882876</v>
      </c>
    </row>
    <row r="22" spans="3:5">
      <c r="C22" s="354" t="s">
        <v>304</v>
      </c>
      <c r="D22" s="355">
        <v>15.768578410524711</v>
      </c>
      <c r="E22" s="355">
        <v>1.1830183402592147</v>
      </c>
    </row>
    <row r="23" spans="3:5">
      <c r="C23" s="354" t="s">
        <v>305</v>
      </c>
      <c r="D23" s="355">
        <v>19.922556074072055</v>
      </c>
      <c r="E23" s="355">
        <v>0.99590207109493589</v>
      </c>
    </row>
    <row r="24" spans="3:5">
      <c r="C24" s="354" t="s">
        <v>306</v>
      </c>
      <c r="D24" s="355">
        <v>16.165554623605537</v>
      </c>
      <c r="E24" s="355">
        <v>0.97283179998893465</v>
      </c>
    </row>
    <row r="25" spans="3:5">
      <c r="C25" s="354" t="s">
        <v>307</v>
      </c>
      <c r="D25" s="355">
        <v>17.738908426890301</v>
      </c>
      <c r="E25" s="355">
        <v>0.7951437230900521</v>
      </c>
    </row>
    <row r="26" spans="3:5">
      <c r="C26" s="354" t="s">
        <v>308</v>
      </c>
      <c r="D26" s="355">
        <v>17.668558600365696</v>
      </c>
      <c r="E26" s="355">
        <v>0.67522985008113245</v>
      </c>
    </row>
    <row r="27" spans="3:5">
      <c r="C27" s="354" t="s">
        <v>309</v>
      </c>
      <c r="D27" s="355">
        <v>22.253652099827526</v>
      </c>
      <c r="E27" s="355">
        <v>0.64930990028398261</v>
      </c>
    </row>
    <row r="28" spans="3:5">
      <c r="C28" s="354" t="s">
        <v>310</v>
      </c>
      <c r="D28" s="355">
        <v>18.509122748893674</v>
      </c>
      <c r="E28" s="355">
        <v>0.59277864135505254</v>
      </c>
    </row>
    <row r="29" spans="3:5">
      <c r="C29" s="354" t="s">
        <v>311</v>
      </c>
      <c r="D29" s="355">
        <v>16.027397260273972</v>
      </c>
      <c r="E29" s="355">
        <v>0.1800072303017855</v>
      </c>
    </row>
    <row r="30" spans="3:5">
      <c r="C30" s="354" t="s">
        <v>312</v>
      </c>
      <c r="D30" s="355">
        <v>14.269405680563441</v>
      </c>
      <c r="E30" s="355">
        <v>0.17336050633333511</v>
      </c>
    </row>
    <row r="31" spans="3:5">
      <c r="C31" s="356" t="s">
        <v>313</v>
      </c>
      <c r="D31" s="357">
        <v>16.8058165441672</v>
      </c>
      <c r="E31" s="357">
        <v>0.16064305728081535</v>
      </c>
    </row>
    <row r="33" spans="3:5" ht="24" customHeight="1">
      <c r="C33" s="411" t="s">
        <v>603</v>
      </c>
      <c r="D33" s="411"/>
      <c r="E33" s="411"/>
    </row>
    <row r="34" spans="3:5" ht="36" customHeight="1">
      <c r="C34" s="411" t="s">
        <v>609</v>
      </c>
      <c r="D34" s="411"/>
      <c r="E34" s="411"/>
    </row>
  </sheetData>
  <mergeCells count="3">
    <mergeCell ref="C33:E33"/>
    <mergeCell ref="C34:E34"/>
    <mergeCell ref="C2:E2"/>
  </mergeCells>
  <pageMargins left="0.511811024" right="0.511811024" top="0.78740157499999996" bottom="0.78740157499999996" header="0.31496062000000002" footer="0.31496062000000002"/>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87FED-4138-4DE9-8D01-FB842AC037FE}">
  <sheetPr>
    <tabColor rgb="FF92D050"/>
  </sheetPr>
  <dimension ref="B2:M26"/>
  <sheetViews>
    <sheetView showGridLines="0" zoomScaleNormal="100" workbookViewId="0">
      <selection activeCell="P17" sqref="P17"/>
    </sheetView>
  </sheetViews>
  <sheetFormatPr defaultColWidth="9.140625" defaultRowHeight="15" customHeight="1"/>
  <cols>
    <col min="1" max="1" width="1.85546875" style="75" customWidth="1"/>
    <col min="2" max="2" width="8.28515625" style="98" customWidth="1"/>
    <col min="3" max="3" width="40.85546875" style="75" customWidth="1"/>
    <col min="4" max="4" width="11" style="75" customWidth="1"/>
    <col min="5" max="5" width="7.28515625" style="75" bestFit="1" customWidth="1"/>
    <col min="6" max="6" width="7.28515625" style="75" customWidth="1"/>
    <col min="7" max="7" width="8.28515625" style="75" bestFit="1" customWidth="1"/>
    <col min="8" max="8" width="5.7109375" style="75" customWidth="1"/>
    <col min="9" max="9" width="6.85546875" style="75" bestFit="1" customWidth="1"/>
    <col min="10" max="10" width="5.28515625" style="75" bestFit="1" customWidth="1"/>
    <col min="11" max="16384" width="9.140625" style="75"/>
  </cols>
  <sheetData>
    <row r="2" spans="2:10" ht="25.5" customHeight="1">
      <c r="B2" s="364" t="s">
        <v>607</v>
      </c>
      <c r="C2" s="364"/>
      <c r="D2" s="364"/>
      <c r="E2" s="364"/>
      <c r="F2" s="364"/>
      <c r="G2" s="364"/>
      <c r="H2" s="364"/>
      <c r="I2" s="364"/>
      <c r="J2" s="364"/>
    </row>
    <row r="3" spans="2:10" ht="5.25" customHeight="1">
      <c r="B3" s="153"/>
      <c r="C3" s="60"/>
      <c r="D3" s="60"/>
      <c r="E3" s="60"/>
      <c r="F3" s="148"/>
      <c r="G3" s="148"/>
      <c r="H3" s="148"/>
      <c r="I3" s="148"/>
      <c r="J3" s="148"/>
    </row>
    <row r="4" spans="2:10" ht="13.5" customHeight="1">
      <c r="B4" s="427" t="s">
        <v>275</v>
      </c>
      <c r="C4" s="365"/>
      <c r="D4" s="481" t="s">
        <v>115</v>
      </c>
      <c r="E4" s="481"/>
      <c r="F4" s="481"/>
      <c r="G4" s="481"/>
      <c r="H4" s="481"/>
      <c r="I4" s="481"/>
      <c r="J4" s="481"/>
    </row>
    <row r="5" spans="2:10" ht="25.9" customHeight="1">
      <c r="B5" s="428"/>
      <c r="C5" s="435"/>
      <c r="D5" s="371" t="s">
        <v>169</v>
      </c>
      <c r="E5" s="372"/>
      <c r="F5" s="482" t="s">
        <v>276</v>
      </c>
      <c r="G5" s="483"/>
      <c r="H5" s="483"/>
      <c r="I5" s="483"/>
      <c r="J5" s="483"/>
    </row>
    <row r="6" spans="2:10" ht="31.9" customHeight="1">
      <c r="B6" s="429"/>
      <c r="C6" s="366"/>
      <c r="D6" s="87" t="s">
        <v>6</v>
      </c>
      <c r="E6" s="87" t="s">
        <v>7</v>
      </c>
      <c r="F6" s="150" t="s">
        <v>519</v>
      </c>
      <c r="G6" s="150" t="s">
        <v>520</v>
      </c>
      <c r="H6" s="150" t="s">
        <v>521</v>
      </c>
      <c r="I6" s="149" t="s">
        <v>522</v>
      </c>
      <c r="J6" s="149" t="s">
        <v>523</v>
      </c>
    </row>
    <row r="7" spans="2:10" ht="21.75" customHeight="1">
      <c r="B7" s="158" t="s">
        <v>517</v>
      </c>
      <c r="C7" s="119" t="s">
        <v>8</v>
      </c>
      <c r="D7" s="101">
        <f>SUM(D8:D23)</f>
        <v>13194470</v>
      </c>
      <c r="E7" s="164">
        <f t="shared" ref="E7:E23" si="0">D7/D$7*100</f>
        <v>100</v>
      </c>
      <c r="F7" s="154">
        <v>52.333371480627868</v>
      </c>
      <c r="G7" s="154">
        <v>17.758470025700159</v>
      </c>
      <c r="H7" s="154">
        <v>16.620273493365023</v>
      </c>
      <c r="I7" s="154">
        <v>8.3821176598984284</v>
      </c>
      <c r="J7" s="154">
        <v>4.90576734040852</v>
      </c>
    </row>
    <row r="8" spans="2:10" ht="24">
      <c r="B8" s="103">
        <v>96025</v>
      </c>
      <c r="C8" s="103" t="s">
        <v>44</v>
      </c>
      <c r="D8" s="104">
        <v>1197209</v>
      </c>
      <c r="E8" s="160">
        <f t="shared" si="0"/>
        <v>9.0735664259345015</v>
      </c>
      <c r="F8" s="155">
        <v>55.745488047617421</v>
      </c>
      <c r="G8" s="155">
        <v>15.336002318726305</v>
      </c>
      <c r="H8" s="155">
        <v>16.409164982889372</v>
      </c>
      <c r="I8" s="155">
        <v>8.6197146864081375</v>
      </c>
      <c r="J8" s="155">
        <v>3.8896299643587713</v>
      </c>
    </row>
    <row r="9" spans="2:10" ht="24">
      <c r="B9" s="103">
        <v>47814</v>
      </c>
      <c r="C9" s="103" t="s">
        <v>45</v>
      </c>
      <c r="D9" s="104">
        <v>939647</v>
      </c>
      <c r="E9" s="160">
        <f t="shared" si="0"/>
        <v>7.1215213646323035</v>
      </c>
      <c r="F9" s="156">
        <v>47.426320735339971</v>
      </c>
      <c r="G9" s="156">
        <v>20.279104812764796</v>
      </c>
      <c r="H9" s="156">
        <v>16.569413833067099</v>
      </c>
      <c r="I9" s="156">
        <v>9.0542512241299118</v>
      </c>
      <c r="J9" s="155">
        <v>6.6709093946982208</v>
      </c>
    </row>
    <row r="10" spans="2:10" ht="24">
      <c r="B10" s="103">
        <v>56112</v>
      </c>
      <c r="C10" s="103" t="s">
        <v>46</v>
      </c>
      <c r="D10" s="104">
        <v>827345</v>
      </c>
      <c r="E10" s="160">
        <f t="shared" si="0"/>
        <v>6.2703920657669459</v>
      </c>
      <c r="F10" s="156">
        <v>51.270026409780691</v>
      </c>
      <c r="G10" s="156">
        <v>18.759646822063345</v>
      </c>
      <c r="H10" s="156">
        <v>14.0981090113556</v>
      </c>
      <c r="I10" s="156">
        <v>9.3617535610899925</v>
      </c>
      <c r="J10" s="155">
        <v>6.5104641957103748</v>
      </c>
    </row>
    <row r="11" spans="2:10" ht="24">
      <c r="B11" s="103">
        <v>43991</v>
      </c>
      <c r="C11" s="103" t="s">
        <v>282</v>
      </c>
      <c r="D11" s="104">
        <v>605470</v>
      </c>
      <c r="E11" s="160">
        <f t="shared" si="0"/>
        <v>4.5888163753451252</v>
      </c>
      <c r="F11" s="156">
        <v>53.270847440831091</v>
      </c>
      <c r="G11" s="156">
        <v>9.5633144499314575</v>
      </c>
      <c r="H11" s="156">
        <v>25.67014055196789</v>
      </c>
      <c r="I11" s="156">
        <v>8.7928386212363936</v>
      </c>
      <c r="J11" s="155">
        <v>2.7028589360331643</v>
      </c>
    </row>
    <row r="12" spans="2:10" ht="24">
      <c r="B12" s="103">
        <v>73190</v>
      </c>
      <c r="C12" s="103" t="s">
        <v>48</v>
      </c>
      <c r="D12" s="104">
        <v>527661</v>
      </c>
      <c r="E12" s="160">
        <f t="shared" si="0"/>
        <v>3.9991072017292093</v>
      </c>
      <c r="F12" s="156">
        <v>51.467324664889013</v>
      </c>
      <c r="G12" s="156">
        <v>15.705538214876597</v>
      </c>
      <c r="H12" s="156">
        <v>18.166398502068564</v>
      </c>
      <c r="I12" s="156">
        <v>9.678562561947917</v>
      </c>
      <c r="J12" s="155">
        <v>4.9821760562179129</v>
      </c>
    </row>
    <row r="13" spans="2:10" ht="24">
      <c r="B13" s="103">
        <v>56201</v>
      </c>
      <c r="C13" s="103" t="s">
        <v>49</v>
      </c>
      <c r="D13" s="104">
        <v>467804</v>
      </c>
      <c r="E13" s="160">
        <f t="shared" si="0"/>
        <v>3.5454550277502621</v>
      </c>
      <c r="F13" s="156">
        <v>59.164521893784574</v>
      </c>
      <c r="G13" s="156">
        <v>17.191815375670153</v>
      </c>
      <c r="H13" s="156">
        <v>12.322895913673246</v>
      </c>
      <c r="I13" s="156">
        <v>7.0178963839556738</v>
      </c>
      <c r="J13" s="155">
        <v>4.3028704329163494</v>
      </c>
    </row>
    <row r="14" spans="2:10" ht="24">
      <c r="B14" s="103">
        <v>45200</v>
      </c>
      <c r="C14" s="103" t="s">
        <v>50</v>
      </c>
      <c r="D14" s="104">
        <v>415121</v>
      </c>
      <c r="E14" s="160">
        <f t="shared" si="0"/>
        <v>3.1461741168838162</v>
      </c>
      <c r="F14" s="156">
        <v>49.053890311499536</v>
      </c>
      <c r="G14" s="156">
        <v>14.570450543335559</v>
      </c>
      <c r="H14" s="156">
        <v>20.989542808000557</v>
      </c>
      <c r="I14" s="156">
        <v>10.438643190780519</v>
      </c>
      <c r="J14" s="155">
        <v>4.9474731463838255</v>
      </c>
    </row>
    <row r="15" spans="2:10" ht="24">
      <c r="B15" s="103">
        <v>85996</v>
      </c>
      <c r="C15" s="103" t="s">
        <v>51</v>
      </c>
      <c r="D15" s="104">
        <v>381023</v>
      </c>
      <c r="E15" s="160">
        <f t="shared" si="0"/>
        <v>2.8877476700466183</v>
      </c>
      <c r="F15" s="156">
        <v>56.556690803442308</v>
      </c>
      <c r="G15" s="156">
        <v>16.227629303217917</v>
      </c>
      <c r="H15" s="156">
        <v>15.960978733567266</v>
      </c>
      <c r="I15" s="156">
        <v>7.5454762573387955</v>
      </c>
      <c r="J15" s="155">
        <v>3.7092249024337116</v>
      </c>
    </row>
    <row r="16" spans="2:10" ht="12">
      <c r="B16" s="103">
        <v>49302</v>
      </c>
      <c r="C16" s="103" t="s">
        <v>52</v>
      </c>
      <c r="D16" s="104">
        <v>336165</v>
      </c>
      <c r="E16" s="160">
        <f t="shared" si="0"/>
        <v>2.5477719074733582</v>
      </c>
      <c r="F16" s="156">
        <v>64.647420165692438</v>
      </c>
      <c r="G16" s="156">
        <v>10.415123525649607</v>
      </c>
      <c r="H16" s="156">
        <v>14.870078681599811</v>
      </c>
      <c r="I16" s="156">
        <v>7.6164978507578125</v>
      </c>
      <c r="J16" s="155">
        <v>2.4508797763003289</v>
      </c>
    </row>
    <row r="17" spans="2:13" ht="24">
      <c r="B17" s="103">
        <v>47890</v>
      </c>
      <c r="C17" s="103" t="s">
        <v>53</v>
      </c>
      <c r="D17" s="104">
        <v>312646</v>
      </c>
      <c r="E17" s="160">
        <f t="shared" si="0"/>
        <v>2.369522989555473</v>
      </c>
      <c r="F17" s="156">
        <v>51.063503131337043</v>
      </c>
      <c r="G17" s="156">
        <v>20.997230094100036</v>
      </c>
      <c r="H17" s="156">
        <v>16.188916538193357</v>
      </c>
      <c r="I17" s="156">
        <v>7.3879083692099057</v>
      </c>
      <c r="J17" s="155">
        <v>4.3624418671596628</v>
      </c>
    </row>
    <row r="18" spans="2:13" ht="36">
      <c r="B18" s="103">
        <v>47121</v>
      </c>
      <c r="C18" s="103" t="s">
        <v>54</v>
      </c>
      <c r="D18" s="104">
        <v>292157</v>
      </c>
      <c r="E18" s="160">
        <f t="shared" si="0"/>
        <v>2.2142382376859397</v>
      </c>
      <c r="F18" s="156">
        <v>32.67729337308365</v>
      </c>
      <c r="G18" s="156">
        <v>38.060015676502701</v>
      </c>
      <c r="H18" s="156">
        <v>11.66530324448841</v>
      </c>
      <c r="I18" s="156">
        <v>7.8245600824214376</v>
      </c>
      <c r="J18" s="155">
        <v>9.772827623503801</v>
      </c>
    </row>
    <row r="19" spans="2:13" ht="12">
      <c r="B19" s="103">
        <v>43304</v>
      </c>
      <c r="C19" s="103" t="s">
        <v>55</v>
      </c>
      <c r="D19" s="104">
        <v>286590</v>
      </c>
      <c r="E19" s="160">
        <f t="shared" si="0"/>
        <v>2.1720463194050232</v>
      </c>
      <c r="F19" s="156">
        <v>53.258662200355914</v>
      </c>
      <c r="G19" s="156">
        <v>10.804982727938867</v>
      </c>
      <c r="H19" s="156">
        <v>24.964234620886984</v>
      </c>
      <c r="I19" s="156">
        <v>8.2047524337904321</v>
      </c>
      <c r="J19" s="155">
        <v>2.7673680170278097</v>
      </c>
    </row>
    <row r="20" spans="2:13" ht="24">
      <c r="B20" s="103">
        <v>14126</v>
      </c>
      <c r="C20" s="103" t="s">
        <v>283</v>
      </c>
      <c r="D20" s="104">
        <v>265351</v>
      </c>
      <c r="E20" s="160">
        <f t="shared" si="0"/>
        <v>2.0110773680185714</v>
      </c>
      <c r="F20" s="156">
        <v>51.272088667463102</v>
      </c>
      <c r="G20" s="156">
        <v>16.475913035941076</v>
      </c>
      <c r="H20" s="156">
        <v>21.41917686385203</v>
      </c>
      <c r="I20" s="156">
        <v>7.8484724007069877</v>
      </c>
      <c r="J20" s="155">
        <v>2.9843490320368118</v>
      </c>
    </row>
    <row r="21" spans="2:13" ht="12">
      <c r="B21" s="103">
        <v>47237</v>
      </c>
      <c r="C21" s="103" t="s">
        <v>57</v>
      </c>
      <c r="D21" s="104">
        <v>252817</v>
      </c>
      <c r="E21" s="160">
        <f t="shared" si="0"/>
        <v>1.916083025691824</v>
      </c>
      <c r="F21" s="156">
        <v>45.019915591119272</v>
      </c>
      <c r="G21" s="156">
        <v>23.478642654568326</v>
      </c>
      <c r="H21" s="156">
        <v>13.309231578572644</v>
      </c>
      <c r="I21" s="156">
        <v>10.625472179481601</v>
      </c>
      <c r="J21" s="155">
        <v>7.5667379962581629</v>
      </c>
    </row>
    <row r="22" spans="2:13" ht="24">
      <c r="B22" s="103">
        <v>82199</v>
      </c>
      <c r="C22" s="103" t="s">
        <v>58</v>
      </c>
      <c r="D22" s="104">
        <v>248185</v>
      </c>
      <c r="E22" s="160">
        <f t="shared" si="0"/>
        <v>1.8809774094753331</v>
      </c>
      <c r="F22" s="156">
        <v>62.955456615025085</v>
      </c>
      <c r="G22" s="156">
        <v>10.611036122247516</v>
      </c>
      <c r="H22" s="156">
        <v>16.859600701089914</v>
      </c>
      <c r="I22" s="156">
        <v>6.6192557970868506</v>
      </c>
      <c r="J22" s="155">
        <v>2.9546507645506379</v>
      </c>
    </row>
    <row r="23" spans="2:13" ht="12">
      <c r="B23" s="94"/>
      <c r="C23" s="161" t="s">
        <v>59</v>
      </c>
      <c r="D23" s="162">
        <v>5839279</v>
      </c>
      <c r="E23" s="163">
        <f t="shared" si="0"/>
        <v>44.2555024946057</v>
      </c>
      <c r="F23" s="157">
        <v>52.175962135051257</v>
      </c>
      <c r="G23" s="157">
        <v>18.804136606591328</v>
      </c>
      <c r="H23" s="157">
        <v>15.905045811306499</v>
      </c>
      <c r="I23" s="157">
        <v>8.0803469058423136</v>
      </c>
      <c r="J23" s="157">
        <v>5.0345085412085977</v>
      </c>
    </row>
    <row r="24" spans="2:13" ht="4.5" customHeight="1">
      <c r="B24" s="484"/>
      <c r="C24" s="484"/>
      <c r="D24" s="484"/>
      <c r="E24" s="484"/>
      <c r="F24" s="484"/>
      <c r="G24" s="484"/>
      <c r="H24" s="484"/>
      <c r="I24" s="484"/>
      <c r="J24" s="484"/>
    </row>
    <row r="25" spans="2:13" ht="24.75" customHeight="1">
      <c r="B25" s="471" t="s">
        <v>547</v>
      </c>
      <c r="C25" s="471"/>
      <c r="D25" s="471"/>
      <c r="E25" s="471"/>
      <c r="F25" s="471"/>
      <c r="G25" s="471"/>
      <c r="H25" s="471"/>
      <c r="I25" s="471"/>
      <c r="J25" s="471"/>
    </row>
    <row r="26" spans="2:13" ht="24.75" customHeight="1">
      <c r="B26" s="480" t="s">
        <v>564</v>
      </c>
      <c r="C26" s="480"/>
      <c r="D26" s="480"/>
      <c r="E26" s="480"/>
      <c r="F26" s="480"/>
      <c r="G26" s="480"/>
      <c r="H26" s="480"/>
      <c r="I26" s="480"/>
      <c r="J26" s="480"/>
      <c r="K26" s="152"/>
      <c r="L26" s="152"/>
      <c r="M26" s="152"/>
    </row>
  </sheetData>
  <mergeCells count="8">
    <mergeCell ref="B26:J26"/>
    <mergeCell ref="D4:J4"/>
    <mergeCell ref="D5:E5"/>
    <mergeCell ref="B4:C6"/>
    <mergeCell ref="B2:J2"/>
    <mergeCell ref="F5:J5"/>
    <mergeCell ref="B24:J24"/>
    <mergeCell ref="B25:J25"/>
  </mergeCells>
  <pageMargins left="0.511811024" right="0.511811024" top="0.78740157499999996" bottom="0.78740157499999996" header="0.31496062000000002" footer="0.31496062000000002"/>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067FF-2847-4B46-8BEF-6B8E7341BEE9}">
  <sheetPr>
    <tabColor rgb="FF92D050"/>
  </sheetPr>
  <dimension ref="B2:O38"/>
  <sheetViews>
    <sheetView showGridLines="0" tabSelected="1" zoomScaleNormal="100" workbookViewId="0">
      <selection activeCell="Q11" sqref="Q11"/>
    </sheetView>
  </sheetViews>
  <sheetFormatPr defaultRowHeight="15" customHeight="1"/>
  <cols>
    <col min="1" max="1" width="1.85546875" style="75" customWidth="1"/>
    <col min="2" max="2" width="19.28515625" style="75" customWidth="1"/>
    <col min="3" max="3" width="11.28515625" style="75" bestFit="1" customWidth="1"/>
    <col min="4" max="4" width="8.85546875" style="75" customWidth="1"/>
    <col min="5" max="5" width="6.5703125" style="75" customWidth="1"/>
    <col min="6" max="6" width="7.28515625" style="75" customWidth="1"/>
    <col min="7" max="7" width="7.7109375" style="75" customWidth="1"/>
    <col min="8" max="8" width="6.140625" style="75" customWidth="1"/>
    <col min="9" max="9" width="7.5703125" style="75" customWidth="1"/>
    <col min="10" max="10" width="6" style="75" customWidth="1"/>
    <col min="11" max="11" width="10.7109375" style="75" customWidth="1"/>
    <col min="12" max="12" width="9.42578125" style="75" customWidth="1"/>
    <col min="13" max="13" width="6.28515625" style="75" customWidth="1"/>
    <col min="14" max="16384" width="9.140625" style="75"/>
  </cols>
  <sheetData>
    <row r="2" spans="2:15" ht="30.75" customHeight="1">
      <c r="B2" s="364" t="s">
        <v>606</v>
      </c>
      <c r="C2" s="364"/>
      <c r="D2" s="364"/>
      <c r="E2" s="364"/>
      <c r="F2" s="364"/>
      <c r="G2" s="364"/>
      <c r="H2" s="364"/>
      <c r="I2" s="364"/>
      <c r="J2" s="364"/>
      <c r="K2" s="364"/>
      <c r="L2" s="364"/>
      <c r="M2" s="364"/>
    </row>
    <row r="3" spans="2:15" ht="6.6" customHeight="1">
      <c r="B3" s="59"/>
      <c r="C3" s="59"/>
    </row>
    <row r="4" spans="2:15" ht="12">
      <c r="B4" s="365" t="s">
        <v>284</v>
      </c>
      <c r="C4" s="389" t="s">
        <v>115</v>
      </c>
      <c r="D4" s="371" t="s">
        <v>285</v>
      </c>
      <c r="E4" s="430"/>
      <c r="F4" s="430"/>
      <c r="G4" s="430"/>
      <c r="H4" s="430"/>
      <c r="I4" s="430"/>
      <c r="J4" s="430"/>
      <c r="K4" s="430"/>
      <c r="L4" s="430"/>
      <c r="M4" s="430"/>
    </row>
    <row r="5" spans="2:15" ht="12">
      <c r="B5" s="435"/>
      <c r="C5" s="486"/>
      <c r="D5" s="431" t="s">
        <v>228</v>
      </c>
      <c r="E5" s="431" t="s">
        <v>12</v>
      </c>
      <c r="F5" s="431" t="s">
        <v>21</v>
      </c>
      <c r="G5" s="431" t="s">
        <v>229</v>
      </c>
      <c r="H5" s="431" t="s">
        <v>25</v>
      </c>
      <c r="I5" s="431"/>
      <c r="J5" s="431"/>
      <c r="K5" s="431"/>
      <c r="L5" s="431"/>
      <c r="M5" s="371"/>
    </row>
    <row r="6" spans="2:15" ht="120">
      <c r="B6" s="435"/>
      <c r="C6" s="486"/>
      <c r="D6" s="431"/>
      <c r="E6" s="431"/>
      <c r="F6" s="431"/>
      <c r="G6" s="431"/>
      <c r="H6" s="165" t="s">
        <v>8</v>
      </c>
      <c r="I6" s="87" t="s">
        <v>230</v>
      </c>
      <c r="J6" s="87" t="s">
        <v>231</v>
      </c>
      <c r="K6" s="87" t="s">
        <v>232</v>
      </c>
      <c r="L6" s="87" t="s">
        <v>233</v>
      </c>
      <c r="M6" s="107" t="s">
        <v>35</v>
      </c>
      <c r="O6" s="492"/>
    </row>
    <row r="7" spans="2:15" ht="12">
      <c r="B7" s="366"/>
      <c r="C7" s="487"/>
      <c r="D7" s="87" t="s">
        <v>11</v>
      </c>
      <c r="E7" s="87" t="s">
        <v>13</v>
      </c>
      <c r="F7" s="87" t="s">
        <v>22</v>
      </c>
      <c r="G7" s="87" t="s">
        <v>24</v>
      </c>
      <c r="H7" s="165" t="s">
        <v>26</v>
      </c>
      <c r="I7" s="87" t="s">
        <v>28</v>
      </c>
      <c r="J7" s="87" t="s">
        <v>30</v>
      </c>
      <c r="K7" s="87" t="s">
        <v>32</v>
      </c>
      <c r="L7" s="87" t="s">
        <v>34</v>
      </c>
      <c r="M7" s="107" t="s">
        <v>36</v>
      </c>
      <c r="O7" s="492"/>
    </row>
    <row r="8" spans="2:15" ht="12">
      <c r="B8" s="110" t="s">
        <v>8</v>
      </c>
      <c r="C8" s="90">
        <f>SUM(C9:C35)</f>
        <v>13194470</v>
      </c>
      <c r="D8" s="91">
        <v>0.34744859020483582</v>
      </c>
      <c r="E8" s="91">
        <v>10.78988394380373</v>
      </c>
      <c r="F8" s="91">
        <v>9.3751321576387685</v>
      </c>
      <c r="G8" s="91">
        <v>29.261190483588955</v>
      </c>
      <c r="H8" s="91">
        <v>50.2263448247637</v>
      </c>
      <c r="I8" s="91">
        <v>7.6548129633096291</v>
      </c>
      <c r="J8" s="91">
        <v>11.769324573097668</v>
      </c>
      <c r="K8" s="91">
        <v>11.608226779855499</v>
      </c>
      <c r="L8" s="91">
        <v>4.5397276283170145</v>
      </c>
      <c r="M8" s="91">
        <v>14.654252880183897</v>
      </c>
      <c r="O8" s="493"/>
    </row>
    <row r="9" spans="2:15" ht="11.45" customHeight="1">
      <c r="B9" s="291" t="s">
        <v>287</v>
      </c>
      <c r="C9" s="92">
        <v>3586574</v>
      </c>
      <c r="D9" s="93">
        <v>0.26677276609175388</v>
      </c>
      <c r="E9" s="93">
        <v>10.027204242043867</v>
      </c>
      <c r="F9" s="93">
        <v>9.3698636553612609</v>
      </c>
      <c r="G9" s="93">
        <v>24.753155728323389</v>
      </c>
      <c r="H9" s="93">
        <v>55.583003608179723</v>
      </c>
      <c r="I9" s="93">
        <v>9.4218073910666256</v>
      </c>
      <c r="J9" s="93">
        <v>11.336141770988629</v>
      </c>
      <c r="K9" s="93">
        <v>13.72396435260066</v>
      </c>
      <c r="L9" s="93">
        <v>5.4635999323030653</v>
      </c>
      <c r="M9" s="93">
        <v>15.637490161220752</v>
      </c>
      <c r="O9" s="494"/>
    </row>
    <row r="10" spans="2:15" ht="11.45" customHeight="1">
      <c r="B10" s="291" t="s">
        <v>288</v>
      </c>
      <c r="C10" s="92">
        <v>1521315</v>
      </c>
      <c r="D10" s="93">
        <v>0.21672040307234203</v>
      </c>
      <c r="E10" s="93">
        <v>10.763254158409008</v>
      </c>
      <c r="F10" s="93">
        <v>8.7751057473304339</v>
      </c>
      <c r="G10" s="93">
        <v>24.504655511843374</v>
      </c>
      <c r="H10" s="93">
        <v>55.740264179344848</v>
      </c>
      <c r="I10" s="93">
        <v>8.1025954519609691</v>
      </c>
      <c r="J10" s="93">
        <v>14.516060119041748</v>
      </c>
      <c r="K10" s="93">
        <v>11.457521946473939</v>
      </c>
      <c r="L10" s="93">
        <v>5.8995671507873126</v>
      </c>
      <c r="M10" s="93">
        <v>15.764519511080874</v>
      </c>
    </row>
    <row r="11" spans="2:15" ht="11.45" customHeight="1">
      <c r="B11" s="291" t="s">
        <v>289</v>
      </c>
      <c r="C11" s="92">
        <v>1461986</v>
      </c>
      <c r="D11" s="93">
        <v>0.52859603306734804</v>
      </c>
      <c r="E11" s="93">
        <v>12.046558585376332</v>
      </c>
      <c r="F11" s="93">
        <v>10.296883827888912</v>
      </c>
      <c r="G11" s="93">
        <v>28.497058111363582</v>
      </c>
      <c r="H11" s="93">
        <v>48.630903442303826</v>
      </c>
      <c r="I11" s="93">
        <v>7.5147778432898811</v>
      </c>
      <c r="J11" s="93">
        <v>11.272542965527714</v>
      </c>
      <c r="K11" s="93">
        <v>10.059330253504479</v>
      </c>
      <c r="L11" s="93">
        <v>4.0744576213452115</v>
      </c>
      <c r="M11" s="93">
        <v>15.709794758636539</v>
      </c>
    </row>
    <row r="12" spans="2:15" ht="11.45" customHeight="1">
      <c r="B12" s="291" t="s">
        <v>290</v>
      </c>
      <c r="C12" s="92">
        <v>825802</v>
      </c>
      <c r="D12" s="93">
        <v>0.46802986672350028</v>
      </c>
      <c r="E12" s="93">
        <v>11.350057277652512</v>
      </c>
      <c r="F12" s="93">
        <v>13.462306945248375</v>
      </c>
      <c r="G12" s="93">
        <v>25.943143756009306</v>
      </c>
      <c r="H12" s="93">
        <v>48.7764621543663</v>
      </c>
      <c r="I12" s="93">
        <v>7.7034204325007698</v>
      </c>
      <c r="J12" s="93">
        <v>9.5729969169365052</v>
      </c>
      <c r="K12" s="93">
        <v>12.291566259224366</v>
      </c>
      <c r="L12" s="93">
        <v>4.1140612398613712</v>
      </c>
      <c r="M12" s="93">
        <v>15.094417305843288</v>
      </c>
    </row>
    <row r="13" spans="2:15" ht="11.45" customHeight="1">
      <c r="B13" s="291" t="s">
        <v>291</v>
      </c>
      <c r="C13" s="92">
        <v>799062</v>
      </c>
      <c r="D13" s="93">
        <v>0.40660174054078407</v>
      </c>
      <c r="E13" s="93">
        <v>11.567813261048579</v>
      </c>
      <c r="F13" s="93">
        <v>13.491944304697256</v>
      </c>
      <c r="G13" s="93">
        <v>27.491483764714125</v>
      </c>
      <c r="H13" s="93">
        <v>47.042156928999255</v>
      </c>
      <c r="I13" s="93">
        <v>6.1612240351812497</v>
      </c>
      <c r="J13" s="93">
        <v>9.3841278899509675</v>
      </c>
      <c r="K13" s="93">
        <v>11.120663978514807</v>
      </c>
      <c r="L13" s="93">
        <v>4.6453216396224573</v>
      </c>
      <c r="M13" s="93">
        <v>15.730819385729768</v>
      </c>
    </row>
    <row r="14" spans="2:15" ht="11.45" customHeight="1">
      <c r="B14" s="291" t="s">
        <v>292</v>
      </c>
      <c r="C14" s="92">
        <v>704907</v>
      </c>
      <c r="D14" s="93">
        <v>0.29479066032824192</v>
      </c>
      <c r="E14" s="93">
        <v>9.7148985610867822</v>
      </c>
      <c r="F14" s="93">
        <v>6.9539669772040842</v>
      </c>
      <c r="G14" s="93">
        <v>37.593611639549614</v>
      </c>
      <c r="H14" s="93">
        <v>45.44273216183128</v>
      </c>
      <c r="I14" s="93">
        <v>7.3855132662890286</v>
      </c>
      <c r="J14" s="93">
        <v>12.526900711725093</v>
      </c>
      <c r="K14" s="93">
        <v>9.2101511263187916</v>
      </c>
      <c r="L14" s="93">
        <v>3.7949686979984598</v>
      </c>
      <c r="M14" s="93">
        <v>12.525198359499907</v>
      </c>
    </row>
    <row r="15" spans="2:15" ht="11.45" customHeight="1">
      <c r="B15" s="291" t="s">
        <v>293</v>
      </c>
      <c r="C15" s="92">
        <v>568093</v>
      </c>
      <c r="D15" s="93">
        <v>0.38972492179977569</v>
      </c>
      <c r="E15" s="93">
        <v>14.062310220333643</v>
      </c>
      <c r="F15" s="93">
        <v>13.090990383616766</v>
      </c>
      <c r="G15" s="93">
        <v>23.745231854643517</v>
      </c>
      <c r="H15" s="93">
        <v>48.711742619606298</v>
      </c>
      <c r="I15" s="93">
        <v>6.2877028937163457</v>
      </c>
      <c r="J15" s="93">
        <v>9.9395697535438732</v>
      </c>
      <c r="K15" s="93">
        <v>13.494093396679768</v>
      </c>
      <c r="L15" s="93">
        <v>4.1968480512873771</v>
      </c>
      <c r="M15" s="93">
        <v>14.793528524378932</v>
      </c>
    </row>
    <row r="16" spans="2:15" ht="11.45" customHeight="1">
      <c r="B16" s="291" t="s">
        <v>294</v>
      </c>
      <c r="C16" s="92">
        <v>460724</v>
      </c>
      <c r="D16" s="93">
        <v>0.49856313107196498</v>
      </c>
      <c r="E16" s="93">
        <v>11.921454059263246</v>
      </c>
      <c r="F16" s="93">
        <v>8.9424471049912739</v>
      </c>
      <c r="G16" s="93">
        <v>32.45261805332477</v>
      </c>
      <c r="H16" s="93">
        <v>46.184917651348748</v>
      </c>
      <c r="I16" s="93">
        <v>6.0528646217692152</v>
      </c>
      <c r="J16" s="93">
        <v>11.229933756435523</v>
      </c>
      <c r="K16" s="93">
        <v>11.601305770917078</v>
      </c>
      <c r="L16" s="93">
        <v>3.4413227876125405</v>
      </c>
      <c r="M16" s="93">
        <v>13.85949071461439</v>
      </c>
    </row>
    <row r="17" spans="2:13" ht="11.45" customHeight="1">
      <c r="B17" s="291" t="s">
        <v>295</v>
      </c>
      <c r="C17" s="92">
        <v>412750</v>
      </c>
      <c r="D17" s="93">
        <v>0.22337976983646274</v>
      </c>
      <c r="E17" s="93">
        <v>11.274379164142942</v>
      </c>
      <c r="F17" s="93">
        <v>6.1448818897637789</v>
      </c>
      <c r="G17" s="93">
        <v>33.838643246517265</v>
      </c>
      <c r="H17" s="93">
        <v>48.518715929739557</v>
      </c>
      <c r="I17" s="93">
        <v>9.5079345850999388</v>
      </c>
      <c r="J17" s="93">
        <v>12.923076923076923</v>
      </c>
      <c r="K17" s="93">
        <v>9.8628709872804361</v>
      </c>
      <c r="L17" s="93">
        <v>3.951059963658389</v>
      </c>
      <c r="M17" s="93">
        <v>12.273773470623864</v>
      </c>
    </row>
    <row r="18" spans="2:13" ht="11.45" customHeight="1">
      <c r="B18" s="291" t="s">
        <v>296</v>
      </c>
      <c r="C18" s="92">
        <v>403784</v>
      </c>
      <c r="D18" s="93">
        <v>0.1689021853268084</v>
      </c>
      <c r="E18" s="93">
        <v>11.24834069700632</v>
      </c>
      <c r="F18" s="93">
        <v>4.1712896003804012</v>
      </c>
      <c r="G18" s="93">
        <v>41.363204089315083</v>
      </c>
      <c r="H18" s="93">
        <v>43.048263427971392</v>
      </c>
      <c r="I18" s="93">
        <v>5.8709607116676246</v>
      </c>
      <c r="J18" s="93">
        <v>12.467309254452875</v>
      </c>
      <c r="K18" s="93">
        <v>8.9845065678679692</v>
      </c>
      <c r="L18" s="93">
        <v>3.508559031561429</v>
      </c>
      <c r="M18" s="93">
        <v>12.216927862421493</v>
      </c>
    </row>
    <row r="19" spans="2:13" ht="11.45" customHeight="1">
      <c r="B19" s="291" t="s">
        <v>297</v>
      </c>
      <c r="C19" s="92">
        <v>335237</v>
      </c>
      <c r="D19" s="93">
        <v>0.35735912205394993</v>
      </c>
      <c r="E19" s="93">
        <v>11.94289413161435</v>
      </c>
      <c r="F19" s="93">
        <v>10.43291760754332</v>
      </c>
      <c r="G19" s="93">
        <v>29.185322622502884</v>
      </c>
      <c r="H19" s="93">
        <v>48.081506516285494</v>
      </c>
      <c r="I19" s="93">
        <v>5.7499619672052908</v>
      </c>
      <c r="J19" s="93">
        <v>13.835286677783179</v>
      </c>
      <c r="K19" s="93">
        <v>10.276610278698353</v>
      </c>
      <c r="L19" s="93">
        <v>3.6001396027288157</v>
      </c>
      <c r="M19" s="93">
        <v>14.619507989869854</v>
      </c>
    </row>
    <row r="20" spans="2:13" ht="11.45" customHeight="1">
      <c r="B20" s="291" t="s">
        <v>298</v>
      </c>
      <c r="C20" s="92">
        <v>287222</v>
      </c>
      <c r="D20" s="93">
        <v>0.31404170278842575</v>
      </c>
      <c r="E20" s="93">
        <v>9.5497226893389442</v>
      </c>
      <c r="F20" s="93">
        <v>5.5214937522412892</v>
      </c>
      <c r="G20" s="93">
        <v>43.84502633841997</v>
      </c>
      <c r="H20" s="93">
        <v>40.769715517211367</v>
      </c>
      <c r="I20" s="93">
        <v>5.2607207640056677</v>
      </c>
      <c r="J20" s="93">
        <v>13.045264480908561</v>
      </c>
      <c r="K20" s="93">
        <v>9.0194726745420812</v>
      </c>
      <c r="L20" s="93">
        <v>2.8040929869822406</v>
      </c>
      <c r="M20" s="93">
        <v>10.640164610772814</v>
      </c>
    </row>
    <row r="21" spans="2:13" ht="11.45" customHeight="1">
      <c r="B21" s="291" t="s">
        <v>299</v>
      </c>
      <c r="C21" s="92">
        <v>231375</v>
      </c>
      <c r="D21" s="93">
        <v>0.26061588330632091</v>
      </c>
      <c r="E21" s="93">
        <v>9.3994597514856828</v>
      </c>
      <c r="F21" s="93">
        <v>7.3685575364667741</v>
      </c>
      <c r="G21" s="93">
        <v>26.065910318746621</v>
      </c>
      <c r="H21" s="93">
        <v>56.9054565099946</v>
      </c>
      <c r="I21" s="93">
        <v>7.697028633171259</v>
      </c>
      <c r="J21" s="93">
        <v>11.841383036196651</v>
      </c>
      <c r="K21" s="93">
        <v>14.473473797947056</v>
      </c>
      <c r="L21" s="93">
        <v>6.155807671528903</v>
      </c>
      <c r="M21" s="93">
        <v>16.737763371150731</v>
      </c>
    </row>
    <row r="22" spans="2:13" ht="11.45" customHeight="1">
      <c r="B22" s="291" t="s">
        <v>300</v>
      </c>
      <c r="C22" s="92">
        <v>230285</v>
      </c>
      <c r="D22" s="93">
        <v>0.95142975009227704</v>
      </c>
      <c r="E22" s="93">
        <v>9.8986039038582625</v>
      </c>
      <c r="F22" s="93">
        <v>12.068958030266844</v>
      </c>
      <c r="G22" s="93">
        <v>31.182230714115118</v>
      </c>
      <c r="H22" s="93">
        <v>45.898777601667504</v>
      </c>
      <c r="I22" s="93">
        <v>5.8475367479427662</v>
      </c>
      <c r="J22" s="93">
        <v>12.958725058080207</v>
      </c>
      <c r="K22" s="93">
        <v>10.75015741363962</v>
      </c>
      <c r="L22" s="93">
        <v>3.6003213409470871</v>
      </c>
      <c r="M22" s="93">
        <v>12.742037041057818</v>
      </c>
    </row>
    <row r="23" spans="2:13" ht="11.45" customHeight="1">
      <c r="B23" s="291" t="s">
        <v>301</v>
      </c>
      <c r="C23" s="92">
        <v>183592</v>
      </c>
      <c r="D23" s="93">
        <v>0.69229596060830534</v>
      </c>
      <c r="E23" s="93">
        <v>9.4829840080177785</v>
      </c>
      <c r="F23" s="93">
        <v>11.667175040306766</v>
      </c>
      <c r="G23" s="93">
        <v>32.110876290905921</v>
      </c>
      <c r="H23" s="93">
        <v>46.046668700161227</v>
      </c>
      <c r="I23" s="93">
        <v>5.8635452525164489</v>
      </c>
      <c r="J23" s="93">
        <v>12.260882827138438</v>
      </c>
      <c r="K23" s="93">
        <v>10.053814981044926</v>
      </c>
      <c r="L23" s="93">
        <v>3.08782517756765</v>
      </c>
      <c r="M23" s="93">
        <v>14.780600461893764</v>
      </c>
    </row>
    <row r="24" spans="2:13" ht="11.45" customHeight="1">
      <c r="B24" s="291" t="s">
        <v>302</v>
      </c>
      <c r="C24" s="92">
        <v>177931</v>
      </c>
      <c r="D24" s="93">
        <v>0.26414733801305001</v>
      </c>
      <c r="E24" s="93">
        <v>9.8268429896982532</v>
      </c>
      <c r="F24" s="93">
        <v>5.7786445307450638</v>
      </c>
      <c r="G24" s="93">
        <v>41.425046787799765</v>
      </c>
      <c r="H24" s="93">
        <v>42.705318353743863</v>
      </c>
      <c r="I24" s="93">
        <v>6.6070555440030123</v>
      </c>
      <c r="J24" s="93">
        <v>10.712579595461163</v>
      </c>
      <c r="K24" s="93">
        <v>9.69364528946614</v>
      </c>
      <c r="L24" s="93">
        <v>3.5373262669236953</v>
      </c>
      <c r="M24" s="93">
        <v>12.154711657889857</v>
      </c>
    </row>
    <row r="25" spans="2:13" ht="11.45" customHeight="1">
      <c r="B25" s="291" t="s">
        <v>303</v>
      </c>
      <c r="C25" s="92">
        <v>162258</v>
      </c>
      <c r="D25" s="93">
        <v>0.28288281625559297</v>
      </c>
      <c r="E25" s="93">
        <v>10.42475563608574</v>
      </c>
      <c r="F25" s="93">
        <v>6.6529847526778347</v>
      </c>
      <c r="G25" s="93">
        <v>37.908762587977172</v>
      </c>
      <c r="H25" s="93">
        <v>44.730614207003661</v>
      </c>
      <c r="I25" s="93">
        <v>5.4536602201432283</v>
      </c>
      <c r="J25" s="93">
        <v>11.572927066770205</v>
      </c>
      <c r="K25" s="93">
        <v>10.824119611975989</v>
      </c>
      <c r="L25" s="93">
        <v>3.4149317753207855</v>
      </c>
      <c r="M25" s="93">
        <v>13.464975532793453</v>
      </c>
    </row>
    <row r="26" spans="2:13" ht="11.45" customHeight="1">
      <c r="B26" s="291" t="s">
        <v>304</v>
      </c>
      <c r="C26" s="92">
        <v>156093</v>
      </c>
      <c r="D26" s="93">
        <v>0.26522649958678479</v>
      </c>
      <c r="E26" s="93">
        <v>8.3475876560768256</v>
      </c>
      <c r="F26" s="93">
        <v>4.892596080541729</v>
      </c>
      <c r="G26" s="93">
        <v>48.954149129044865</v>
      </c>
      <c r="H26" s="93">
        <v>37.540440634749793</v>
      </c>
      <c r="I26" s="93">
        <v>3.4876644051943391</v>
      </c>
      <c r="J26" s="93">
        <v>10.487337676897747</v>
      </c>
      <c r="K26" s="93">
        <v>9.6993459027630955</v>
      </c>
      <c r="L26" s="93">
        <v>3.20065601916806</v>
      </c>
      <c r="M26" s="93">
        <v>10.665436630726555</v>
      </c>
    </row>
    <row r="27" spans="2:13" ht="11.45" customHeight="1">
      <c r="B27" s="291" t="s">
        <v>305</v>
      </c>
      <c r="C27" s="92">
        <v>131404</v>
      </c>
      <c r="D27" s="93">
        <v>0.29298955891753675</v>
      </c>
      <c r="E27" s="93">
        <v>10.729505951112598</v>
      </c>
      <c r="F27" s="93">
        <v>5.2715290249916285</v>
      </c>
      <c r="G27" s="93">
        <v>40.548993942345739</v>
      </c>
      <c r="H27" s="93">
        <v>43.156981522632492</v>
      </c>
      <c r="I27" s="93">
        <v>6.3582539344312199</v>
      </c>
      <c r="J27" s="93">
        <v>13.132781346077746</v>
      </c>
      <c r="K27" s="93">
        <v>9.6435420535143521</v>
      </c>
      <c r="L27" s="93">
        <v>3.0851420048095948</v>
      </c>
      <c r="M27" s="93">
        <v>10.93726218379958</v>
      </c>
    </row>
    <row r="28" spans="2:13" ht="11.45" customHeight="1">
      <c r="B28" s="291" t="s">
        <v>306</v>
      </c>
      <c r="C28" s="92">
        <v>128360</v>
      </c>
      <c r="D28" s="93">
        <v>0.3435649735119975</v>
      </c>
      <c r="E28" s="93">
        <v>9.1484886257401055</v>
      </c>
      <c r="F28" s="93">
        <v>5.4612028669367403</v>
      </c>
      <c r="G28" s="93">
        <v>35.832034901838576</v>
      </c>
      <c r="H28" s="93">
        <v>49.214708631972577</v>
      </c>
      <c r="I28" s="93">
        <v>8.7932377687753203</v>
      </c>
      <c r="J28" s="93">
        <v>13.629635400436275</v>
      </c>
      <c r="K28" s="93">
        <v>12.350420691804301</v>
      </c>
      <c r="L28" s="93">
        <v>4.14069803677158</v>
      </c>
      <c r="M28" s="93">
        <v>10.300716734185105</v>
      </c>
    </row>
    <row r="29" spans="2:13" ht="11.45" customHeight="1">
      <c r="B29" s="291" t="s">
        <v>307</v>
      </c>
      <c r="C29" s="92">
        <v>104915</v>
      </c>
      <c r="D29" s="93">
        <v>0.31358718962970022</v>
      </c>
      <c r="E29" s="93">
        <v>9.6201687080017155</v>
      </c>
      <c r="F29" s="93">
        <v>5.7093837868750894</v>
      </c>
      <c r="G29" s="93">
        <v>44.446456655387692</v>
      </c>
      <c r="H29" s="93">
        <v>39.9104036601058</v>
      </c>
      <c r="I29" s="93">
        <v>5.4196254110470381</v>
      </c>
      <c r="J29" s="93">
        <v>11.398751370156795</v>
      </c>
      <c r="K29" s="93">
        <v>8.7432683601010339</v>
      </c>
      <c r="L29" s="93">
        <v>2.5725587380260211</v>
      </c>
      <c r="M29" s="93">
        <v>11.776199780774913</v>
      </c>
    </row>
    <row r="30" spans="2:13" ht="11.45" customHeight="1">
      <c r="B30" s="291" t="s">
        <v>308</v>
      </c>
      <c r="C30" s="92">
        <v>89093</v>
      </c>
      <c r="D30" s="93">
        <v>0.2424432895962646</v>
      </c>
      <c r="E30" s="93">
        <v>9.8211980739227549</v>
      </c>
      <c r="F30" s="93">
        <v>6.4572974307745836</v>
      </c>
      <c r="G30" s="93">
        <v>34.727756389390862</v>
      </c>
      <c r="H30" s="93">
        <v>48.751304816315532</v>
      </c>
      <c r="I30" s="93">
        <v>7.7379816596141113</v>
      </c>
      <c r="J30" s="93">
        <v>12.879799759801555</v>
      </c>
      <c r="K30" s="93">
        <v>9.8616052888554648</v>
      </c>
      <c r="L30" s="93">
        <v>3.6344044986699289</v>
      </c>
      <c r="M30" s="93">
        <v>14.637513609374475</v>
      </c>
    </row>
    <row r="31" spans="2:13" ht="11.45" customHeight="1">
      <c r="B31" s="291" t="s">
        <v>309</v>
      </c>
      <c r="C31" s="92">
        <v>85673</v>
      </c>
      <c r="D31" s="93">
        <v>0.61629684964924769</v>
      </c>
      <c r="E31" s="93">
        <v>9.5712768316739236</v>
      </c>
      <c r="F31" s="93">
        <v>10.142051754928625</v>
      </c>
      <c r="G31" s="93">
        <v>36.527260630537043</v>
      </c>
      <c r="H31" s="93">
        <v>43.143113933211161</v>
      </c>
      <c r="I31" s="93">
        <v>6.2586812648092165</v>
      </c>
      <c r="J31" s="93">
        <v>13.111482030511363</v>
      </c>
      <c r="K31" s="93">
        <v>9.3716806928670646</v>
      </c>
      <c r="L31" s="93">
        <v>2.5900808889615163</v>
      </c>
      <c r="M31" s="93">
        <v>11.811189056062004</v>
      </c>
    </row>
    <row r="32" spans="2:13" ht="11.45" customHeight="1">
      <c r="B32" s="291" t="s">
        <v>310</v>
      </c>
      <c r="C32" s="92">
        <v>78214</v>
      </c>
      <c r="D32" s="93">
        <v>0.40274119722811774</v>
      </c>
      <c r="E32" s="93">
        <v>9.5609481678471884</v>
      </c>
      <c r="F32" s="93">
        <v>9.3461528626588581</v>
      </c>
      <c r="G32" s="93">
        <v>37.653105582120851</v>
      </c>
      <c r="H32" s="93">
        <v>43.037052190144983</v>
      </c>
      <c r="I32" s="93">
        <v>5.8033088705346865</v>
      </c>
      <c r="J32" s="93">
        <v>11.618124632418748</v>
      </c>
      <c r="K32" s="93">
        <v>9.1556498836525435</v>
      </c>
      <c r="L32" s="93">
        <v>2.0469481167054493</v>
      </c>
      <c r="M32" s="93">
        <v>14.413020686833558</v>
      </c>
    </row>
    <row r="33" spans="2:13" ht="11.45" customHeight="1">
      <c r="B33" s="291" t="s">
        <v>311</v>
      </c>
      <c r="C33" s="92">
        <v>23751</v>
      </c>
      <c r="D33" s="93">
        <v>0.25683129131404997</v>
      </c>
      <c r="E33" s="93">
        <v>9.0143572902193583</v>
      </c>
      <c r="F33" s="93">
        <v>5.8229127194644441</v>
      </c>
      <c r="G33" s="93">
        <v>42.528735632183903</v>
      </c>
      <c r="H33" s="93">
        <v>42.377163066818241</v>
      </c>
      <c r="I33" s="93">
        <v>3.8187865774072667</v>
      </c>
      <c r="J33" s="93">
        <v>15.73407435476401</v>
      </c>
      <c r="K33" s="93">
        <v>9.7595890699338987</v>
      </c>
      <c r="L33" s="93">
        <v>2.3872679045092835</v>
      </c>
      <c r="M33" s="93">
        <v>10.677445160203781</v>
      </c>
    </row>
    <row r="34" spans="2:13" ht="11.45" customHeight="1">
      <c r="B34" s="291" t="s">
        <v>312</v>
      </c>
      <c r="C34" s="92">
        <v>22874</v>
      </c>
      <c r="D34" s="93">
        <v>0.33225496196555043</v>
      </c>
      <c r="E34" s="93">
        <v>7.2527760776427392</v>
      </c>
      <c r="F34" s="93">
        <v>4.8395558275771622</v>
      </c>
      <c r="G34" s="93">
        <v>46.598758415668442</v>
      </c>
      <c r="H34" s="93">
        <v>40.976654717146104</v>
      </c>
      <c r="I34" s="93">
        <v>5.2548745300340993</v>
      </c>
      <c r="J34" s="93">
        <v>12.931712861764449</v>
      </c>
      <c r="K34" s="93">
        <v>10.793914488065052</v>
      </c>
      <c r="L34" s="93">
        <v>1.8274022908105272</v>
      </c>
      <c r="M34" s="93">
        <v>10.168750546471978</v>
      </c>
    </row>
    <row r="35" spans="2:13" ht="11.45" customHeight="1">
      <c r="B35" s="292" t="s">
        <v>313</v>
      </c>
      <c r="C35" s="97">
        <v>21196</v>
      </c>
      <c r="D35" s="96">
        <v>0.4010190602000378</v>
      </c>
      <c r="E35" s="96">
        <v>8.2609926401207776</v>
      </c>
      <c r="F35" s="96">
        <v>5.4349877335346291</v>
      </c>
      <c r="G35" s="96">
        <v>41.578599735799209</v>
      </c>
      <c r="H35" s="96">
        <v>44.324400830345354</v>
      </c>
      <c r="I35" s="96">
        <v>3.7224004529156445</v>
      </c>
      <c r="J35" s="96">
        <v>16.253066616342707</v>
      </c>
      <c r="K35" s="96">
        <v>10.369881109643329</v>
      </c>
      <c r="L35" s="96">
        <v>2.0475561426684283</v>
      </c>
      <c r="M35" s="96">
        <v>11.931496508775242</v>
      </c>
    </row>
    <row r="36" spans="2:13" ht="27" customHeight="1">
      <c r="B36" s="471" t="s">
        <v>547</v>
      </c>
      <c r="C36" s="471"/>
      <c r="D36" s="471"/>
      <c r="E36" s="471"/>
      <c r="F36" s="471"/>
      <c r="G36" s="471"/>
      <c r="H36" s="471"/>
      <c r="I36" s="471"/>
      <c r="J36" s="471"/>
      <c r="K36" s="471"/>
      <c r="L36" s="471"/>
      <c r="M36" s="471"/>
    </row>
    <row r="37" spans="2:13" ht="39.75" customHeight="1">
      <c r="B37" s="471" t="s">
        <v>565</v>
      </c>
      <c r="C37" s="471"/>
      <c r="D37" s="471"/>
      <c r="E37" s="471"/>
      <c r="F37" s="471"/>
      <c r="G37" s="471"/>
      <c r="H37" s="471"/>
      <c r="I37" s="471"/>
      <c r="J37" s="471"/>
      <c r="K37" s="471"/>
      <c r="L37" s="471"/>
      <c r="M37" s="471"/>
    </row>
    <row r="38" spans="2:13" ht="69.75" customHeight="1">
      <c r="B38" s="485"/>
      <c r="C38" s="485"/>
      <c r="D38" s="485"/>
      <c r="E38" s="485"/>
      <c r="F38" s="485"/>
      <c r="G38" s="485"/>
      <c r="H38" s="485"/>
      <c r="I38" s="485"/>
      <c r="J38" s="485"/>
      <c r="K38" s="485"/>
      <c r="L38" s="485"/>
      <c r="M38" s="485"/>
    </row>
  </sheetData>
  <mergeCells count="13">
    <mergeCell ref="O6:O7"/>
    <mergeCell ref="B37:M37"/>
    <mergeCell ref="B38:M38"/>
    <mergeCell ref="B36:M36"/>
    <mergeCell ref="B2:M2"/>
    <mergeCell ref="B4:B7"/>
    <mergeCell ref="C4:C7"/>
    <mergeCell ref="D4:M4"/>
    <mergeCell ref="D5:D6"/>
    <mergeCell ref="E5:E6"/>
    <mergeCell ref="F5:F6"/>
    <mergeCell ref="G5:G6"/>
    <mergeCell ref="H5:M5"/>
  </mergeCells>
  <pageMargins left="0.511811024" right="0.511811024" top="0.78740157499999996" bottom="0.78740157499999996" header="0.31496062000000002" footer="0.31496062000000002"/>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025CD-CA81-45E1-B81A-BA5502166360}">
  <sheetPr>
    <tabColor rgb="FF92D050"/>
  </sheetPr>
  <dimension ref="A1:X33"/>
  <sheetViews>
    <sheetView showGridLines="0" topLeftCell="B1" zoomScaleNormal="100" workbookViewId="0">
      <selection activeCell="L40" sqref="L40"/>
    </sheetView>
  </sheetViews>
  <sheetFormatPr defaultRowHeight="15"/>
  <cols>
    <col min="1" max="1" width="11.85546875" style="43" customWidth="1"/>
    <col min="2" max="2" width="19.28515625" style="43" customWidth="1"/>
    <col min="3" max="3" width="10.28515625" style="43" bestFit="1" customWidth="1"/>
    <col min="4" max="4" width="8.28515625" style="43" bestFit="1" customWidth="1"/>
    <col min="5" max="7" width="9.28515625" style="43" bestFit="1" customWidth="1"/>
    <col min="8" max="8" width="9.42578125" style="43" customWidth="1"/>
    <col min="9" max="9" width="6.140625" style="58" customWidth="1"/>
    <col min="10" max="10" width="7.42578125" style="43" customWidth="1"/>
    <col min="11" max="11" width="8.28515625" style="43" bestFit="1" customWidth="1"/>
    <col min="12" max="12" width="7.5703125" style="43" bestFit="1" customWidth="1"/>
    <col min="13" max="13" width="7" style="43" customWidth="1"/>
    <col min="14" max="14" width="8.140625" style="43" customWidth="1"/>
    <col min="15" max="15" width="6.140625" style="58" customWidth="1"/>
    <col min="16" max="16" width="6.7109375" style="43" customWidth="1"/>
    <col min="17" max="17" width="8.28515625" style="43" customWidth="1"/>
    <col min="18" max="18" width="7.5703125" style="43" customWidth="1"/>
    <col min="19" max="19" width="8" style="43" customWidth="1"/>
    <col min="20" max="20" width="9.7109375" style="43" customWidth="1"/>
    <col min="21" max="16384" width="9.140625" style="43"/>
  </cols>
  <sheetData>
    <row r="1" spans="1:24" ht="14.45" customHeight="1"/>
    <row r="2" spans="1:24" ht="14.45" customHeight="1">
      <c r="B2" s="488" t="s">
        <v>605</v>
      </c>
      <c r="C2" s="488"/>
      <c r="D2" s="488"/>
      <c r="E2" s="488"/>
      <c r="F2" s="488"/>
      <c r="G2" s="488"/>
      <c r="H2" s="488"/>
      <c r="I2" s="488"/>
      <c r="J2" s="488"/>
      <c r="K2" s="488"/>
      <c r="L2" s="488"/>
      <c r="M2" s="488"/>
      <c r="N2" s="488"/>
      <c r="O2" s="488"/>
      <c r="P2" s="488"/>
      <c r="Q2" s="488"/>
      <c r="R2" s="488"/>
      <c r="S2" s="488"/>
      <c r="T2" s="488"/>
    </row>
    <row r="3" spans="1:24" ht="14.25">
      <c r="B3" s="343"/>
      <c r="C3" s="343"/>
      <c r="D3" s="343"/>
      <c r="E3" s="343"/>
      <c r="F3" s="343"/>
      <c r="G3" s="343"/>
      <c r="H3" s="343"/>
      <c r="I3" s="343"/>
      <c r="J3" s="343"/>
      <c r="K3" s="343"/>
      <c r="L3" s="343"/>
      <c r="M3" s="343"/>
      <c r="N3" s="343"/>
      <c r="O3" s="343"/>
      <c r="P3" s="343"/>
      <c r="Q3" s="343"/>
      <c r="R3" s="343"/>
      <c r="S3" s="343"/>
    </row>
    <row r="4" spans="1:24" ht="7.9" customHeight="1">
      <c r="B4" s="51"/>
      <c r="C4" s="51"/>
      <c r="D4" s="51"/>
      <c r="E4" s="51"/>
      <c r="F4" s="51"/>
      <c r="G4" s="51"/>
      <c r="H4" s="51"/>
    </row>
    <row r="5" spans="1:24" ht="15" customHeight="1">
      <c r="B5" s="365" t="s">
        <v>243</v>
      </c>
      <c r="C5" s="371" t="s">
        <v>570</v>
      </c>
      <c r="D5" s="430"/>
      <c r="E5" s="430"/>
      <c r="F5" s="430"/>
      <c r="G5" s="430"/>
      <c r="H5" s="430"/>
      <c r="I5" s="369" t="s">
        <v>571</v>
      </c>
      <c r="J5" s="436"/>
      <c r="K5" s="436"/>
      <c r="L5" s="436"/>
      <c r="M5" s="436"/>
      <c r="N5" s="436"/>
      <c r="O5" s="369" t="s">
        <v>572</v>
      </c>
      <c r="P5" s="436"/>
      <c r="Q5" s="436"/>
      <c r="R5" s="436"/>
      <c r="S5" s="436"/>
      <c r="T5" s="436"/>
    </row>
    <row r="6" spans="1:24" s="52" customFormat="1" ht="41.25" customHeight="1">
      <c r="B6" s="366"/>
      <c r="C6" s="88" t="s">
        <v>314</v>
      </c>
      <c r="D6" s="131" t="s">
        <v>281</v>
      </c>
      <c r="E6" s="88" t="s">
        <v>278</v>
      </c>
      <c r="F6" s="88" t="s">
        <v>277</v>
      </c>
      <c r="G6" s="88" t="s">
        <v>279</v>
      </c>
      <c r="H6" s="131" t="s">
        <v>280</v>
      </c>
      <c r="I6" s="252" t="s">
        <v>314</v>
      </c>
      <c r="J6" s="131" t="s">
        <v>281</v>
      </c>
      <c r="K6" s="88" t="s">
        <v>278</v>
      </c>
      <c r="L6" s="88" t="s">
        <v>277</v>
      </c>
      <c r="M6" s="88" t="s">
        <v>279</v>
      </c>
      <c r="N6" s="87" t="s">
        <v>280</v>
      </c>
      <c r="O6" s="294" t="s">
        <v>314</v>
      </c>
      <c r="P6" s="131" t="s">
        <v>281</v>
      </c>
      <c r="Q6" s="88" t="s">
        <v>278</v>
      </c>
      <c r="R6" s="88" t="s">
        <v>277</v>
      </c>
      <c r="S6" s="88" t="s">
        <v>279</v>
      </c>
      <c r="T6" s="107" t="s">
        <v>280</v>
      </c>
    </row>
    <row r="7" spans="1:24" ht="9" customHeight="1">
      <c r="A7" s="56"/>
      <c r="B7" s="236" t="s">
        <v>114</v>
      </c>
      <c r="C7" s="112"/>
      <c r="D7" s="113"/>
      <c r="E7" s="113"/>
      <c r="F7" s="113"/>
      <c r="G7" s="113"/>
      <c r="H7" s="112"/>
      <c r="I7" s="205"/>
      <c r="J7" s="75"/>
      <c r="K7" s="75"/>
      <c r="L7" s="75"/>
      <c r="M7" s="75"/>
      <c r="N7" s="75"/>
      <c r="O7" s="205"/>
      <c r="P7" s="75"/>
      <c r="Q7" s="75"/>
      <c r="R7" s="75"/>
      <c r="S7" s="75"/>
      <c r="T7" s="75"/>
    </row>
    <row r="8" spans="1:24" ht="12" customHeight="1">
      <c r="B8" s="142" t="s">
        <v>124</v>
      </c>
      <c r="C8" s="112">
        <v>7029736</v>
      </c>
      <c r="D8" s="112">
        <v>361926</v>
      </c>
      <c r="E8" s="112">
        <v>1266100</v>
      </c>
      <c r="F8" s="112">
        <v>3626932</v>
      </c>
      <c r="G8" s="112">
        <v>1174956</v>
      </c>
      <c r="H8" s="112">
        <v>599822</v>
      </c>
      <c r="I8" s="253">
        <f t="shared" ref="I8:N9" si="0">100*C8/SUM(C$8:C$9)</f>
        <v>53.277895967022545</v>
      </c>
      <c r="J8" s="254">
        <f t="shared" si="0"/>
        <v>55.914041619675878</v>
      </c>
      <c r="K8" s="254">
        <f t="shared" si="0"/>
        <v>54.03444530511473</v>
      </c>
      <c r="L8" s="254">
        <f t="shared" si="0"/>
        <v>52.52531747493741</v>
      </c>
      <c r="M8" s="254">
        <f t="shared" si="0"/>
        <v>53.578615540569196</v>
      </c>
      <c r="N8" s="254">
        <f t="shared" si="0"/>
        <v>54.234630769564617</v>
      </c>
      <c r="O8" s="253">
        <f>100*C8/SUM(C$8:C$9)</f>
        <v>53.277895967022545</v>
      </c>
      <c r="P8" s="254">
        <f t="shared" ref="P8:T9" si="1">100*D8/SUM(D$8:D$9)</f>
        <v>55.914041619675878</v>
      </c>
      <c r="Q8" s="254">
        <f t="shared" si="1"/>
        <v>54.03444530511473</v>
      </c>
      <c r="R8" s="254">
        <f t="shared" si="1"/>
        <v>52.52531747493741</v>
      </c>
      <c r="S8" s="254">
        <f t="shared" si="1"/>
        <v>53.578615540569196</v>
      </c>
      <c r="T8" s="254">
        <f t="shared" si="1"/>
        <v>54.234630769564617</v>
      </c>
    </row>
    <row r="9" spans="1:24" ht="12" customHeight="1">
      <c r="A9" s="56"/>
      <c r="B9" s="142" t="s">
        <v>125</v>
      </c>
      <c r="C9" s="112">
        <v>6164734</v>
      </c>
      <c r="D9" s="112">
        <v>285364</v>
      </c>
      <c r="E9" s="112">
        <v>1077035</v>
      </c>
      <c r="F9" s="112">
        <v>3278180</v>
      </c>
      <c r="G9" s="112">
        <v>1018001</v>
      </c>
      <c r="H9" s="112">
        <v>506154</v>
      </c>
      <c r="I9" s="253">
        <f t="shared" si="0"/>
        <v>46.722104032977455</v>
      </c>
      <c r="J9" s="254">
        <f t="shared" si="0"/>
        <v>44.085958380324122</v>
      </c>
      <c r="K9" s="254">
        <f t="shared" si="0"/>
        <v>45.96555469488527</v>
      </c>
      <c r="L9" s="254">
        <f t="shared" si="0"/>
        <v>47.47468252506259</v>
      </c>
      <c r="M9" s="254">
        <f t="shared" si="0"/>
        <v>46.421384459430804</v>
      </c>
      <c r="N9" s="254">
        <f t="shared" si="0"/>
        <v>45.765369230435383</v>
      </c>
      <c r="O9" s="253">
        <f>100*C9/SUM(C$8:C$9)</f>
        <v>46.722104032977455</v>
      </c>
      <c r="P9" s="254">
        <f t="shared" si="1"/>
        <v>44.085958380324122</v>
      </c>
      <c r="Q9" s="254">
        <f t="shared" si="1"/>
        <v>45.96555469488527</v>
      </c>
      <c r="R9" s="254">
        <f t="shared" si="1"/>
        <v>47.47468252506259</v>
      </c>
      <c r="S9" s="254">
        <f t="shared" si="1"/>
        <v>46.421384459430804</v>
      </c>
      <c r="T9" s="254">
        <f t="shared" si="1"/>
        <v>45.765369230435383</v>
      </c>
    </row>
    <row r="10" spans="1:24" ht="9" customHeight="1">
      <c r="A10" s="56"/>
      <c r="B10" s="236" t="s">
        <v>122</v>
      </c>
      <c r="C10" s="112"/>
      <c r="D10" s="113"/>
      <c r="E10" s="113"/>
      <c r="F10" s="113"/>
      <c r="G10" s="113"/>
      <c r="H10" s="112"/>
      <c r="I10" s="205"/>
      <c r="J10" s="75"/>
      <c r="K10" s="75"/>
      <c r="L10" s="75"/>
      <c r="M10" s="75"/>
      <c r="N10" s="75"/>
      <c r="O10" s="205"/>
      <c r="P10" s="75"/>
      <c r="Q10" s="75"/>
      <c r="R10" s="75"/>
      <c r="S10" s="75"/>
      <c r="T10" s="75"/>
    </row>
    <row r="11" spans="1:24" s="57" customFormat="1" ht="12" customHeight="1">
      <c r="B11" s="142" t="s">
        <v>123</v>
      </c>
      <c r="C11" s="112">
        <v>2902112</v>
      </c>
      <c r="D11" s="112">
        <v>163462</v>
      </c>
      <c r="E11" s="112">
        <v>519296</v>
      </c>
      <c r="F11" s="112">
        <v>1461835</v>
      </c>
      <c r="G11" s="112">
        <v>501031</v>
      </c>
      <c r="H11" s="112">
        <v>256488</v>
      </c>
      <c r="I11" s="253">
        <f t="shared" ref="I11:N14" si="2">100*C11/SUM(C$11:C$14)</f>
        <v>21.994911504592455</v>
      </c>
      <c r="J11" s="254">
        <f t="shared" si="2"/>
        <v>25.253286780268503</v>
      </c>
      <c r="K11" s="254">
        <f t="shared" si="2"/>
        <v>22.162444758838053</v>
      </c>
      <c r="L11" s="254">
        <f t="shared" si="2"/>
        <v>21.170330039541721</v>
      </c>
      <c r="M11" s="254">
        <f t="shared" si="2"/>
        <v>22.847278811212441</v>
      </c>
      <c r="N11" s="254">
        <f t="shared" si="2"/>
        <v>23.191099987703168</v>
      </c>
      <c r="O11" s="253">
        <f t="shared" ref="O11:T14" si="3">100*C11/SUM(C$11:C$14)</f>
        <v>21.994911504592455</v>
      </c>
      <c r="P11" s="254">
        <f t="shared" si="3"/>
        <v>25.253286780268503</v>
      </c>
      <c r="Q11" s="254">
        <f t="shared" si="3"/>
        <v>22.162444758838053</v>
      </c>
      <c r="R11" s="254">
        <f t="shared" si="3"/>
        <v>21.170330039541721</v>
      </c>
      <c r="S11" s="254">
        <f t="shared" si="3"/>
        <v>22.847278811212441</v>
      </c>
      <c r="T11" s="254">
        <f t="shared" si="3"/>
        <v>23.191099987703168</v>
      </c>
    </row>
    <row r="12" spans="1:24" s="57" customFormat="1" ht="12" customHeight="1">
      <c r="A12" s="53"/>
      <c r="B12" s="114" t="s">
        <v>127</v>
      </c>
      <c r="C12" s="112">
        <v>3992175</v>
      </c>
      <c r="D12" s="112">
        <v>208388</v>
      </c>
      <c r="E12" s="112">
        <v>722225</v>
      </c>
      <c r="F12" s="112">
        <v>2054692</v>
      </c>
      <c r="G12" s="112">
        <v>669333</v>
      </c>
      <c r="H12" s="112">
        <v>337537</v>
      </c>
      <c r="I12" s="253">
        <f t="shared" si="2"/>
        <v>30.256425608607241</v>
      </c>
      <c r="J12" s="254">
        <f t="shared" si="2"/>
        <v>32.193916173585258</v>
      </c>
      <c r="K12" s="254">
        <f t="shared" si="2"/>
        <v>30.82302129412091</v>
      </c>
      <c r="L12" s="254">
        <f t="shared" si="2"/>
        <v>29.756099539008201</v>
      </c>
      <c r="M12" s="254">
        <f t="shared" si="2"/>
        <v>30.521939098669058</v>
      </c>
      <c r="N12" s="254">
        <f t="shared" si="2"/>
        <v>30.519378359024067</v>
      </c>
      <c r="O12" s="253">
        <f t="shared" si="3"/>
        <v>30.256425608607241</v>
      </c>
      <c r="P12" s="254">
        <f t="shared" si="3"/>
        <v>32.193916173585258</v>
      </c>
      <c r="Q12" s="254">
        <f t="shared" si="3"/>
        <v>30.82302129412091</v>
      </c>
      <c r="R12" s="254">
        <f t="shared" si="3"/>
        <v>29.756099539008201</v>
      </c>
      <c r="S12" s="254">
        <f t="shared" si="3"/>
        <v>30.521939098669058</v>
      </c>
      <c r="T12" s="254">
        <f t="shared" si="3"/>
        <v>30.519378359024067</v>
      </c>
    </row>
    <row r="13" spans="1:24" s="57" customFormat="1" ht="12" customHeight="1">
      <c r="A13" s="53"/>
      <c r="B13" s="114" t="s">
        <v>128</v>
      </c>
      <c r="C13" s="112">
        <v>3226523</v>
      </c>
      <c r="D13" s="112">
        <v>155757</v>
      </c>
      <c r="E13" s="112">
        <v>585026</v>
      </c>
      <c r="F13" s="112">
        <v>1704041</v>
      </c>
      <c r="G13" s="112">
        <v>513820</v>
      </c>
      <c r="H13" s="112">
        <v>267879</v>
      </c>
      <c r="I13" s="253">
        <f t="shared" si="2"/>
        <v>24.453600637236661</v>
      </c>
      <c r="J13" s="254">
        <f t="shared" si="2"/>
        <v>24.062939331675139</v>
      </c>
      <c r="K13" s="254">
        <f t="shared" si="2"/>
        <v>24.967660847539729</v>
      </c>
      <c r="L13" s="254">
        <f t="shared" si="2"/>
        <v>24.677963224926692</v>
      </c>
      <c r="M13" s="254">
        <f t="shared" si="2"/>
        <v>23.430463980825888</v>
      </c>
      <c r="N13" s="254">
        <f t="shared" si="2"/>
        <v>24.221050004701731</v>
      </c>
      <c r="O13" s="253">
        <f t="shared" si="3"/>
        <v>24.453600637236661</v>
      </c>
      <c r="P13" s="254">
        <f t="shared" si="3"/>
        <v>24.062939331675139</v>
      </c>
      <c r="Q13" s="254">
        <f t="shared" si="3"/>
        <v>24.967660847539729</v>
      </c>
      <c r="R13" s="254">
        <f t="shared" si="3"/>
        <v>24.677963224926692</v>
      </c>
      <c r="S13" s="254">
        <f t="shared" si="3"/>
        <v>23.430463980825888</v>
      </c>
      <c r="T13" s="254">
        <f t="shared" si="3"/>
        <v>24.221050004701731</v>
      </c>
    </row>
    <row r="14" spans="1:24" s="57" customFormat="1" ht="12" customHeight="1">
      <c r="A14" s="53"/>
      <c r="B14" s="114" t="s">
        <v>126</v>
      </c>
      <c r="C14" s="112">
        <v>3073660</v>
      </c>
      <c r="D14" s="112">
        <v>119683</v>
      </c>
      <c r="E14" s="112">
        <v>516588</v>
      </c>
      <c r="F14" s="112">
        <v>1684544</v>
      </c>
      <c r="G14" s="112">
        <v>508773</v>
      </c>
      <c r="H14" s="112">
        <v>244072</v>
      </c>
      <c r="I14" s="253">
        <f t="shared" si="2"/>
        <v>23.295062249563642</v>
      </c>
      <c r="J14" s="254">
        <f t="shared" si="2"/>
        <v>18.489857714471103</v>
      </c>
      <c r="K14" s="254">
        <f t="shared" si="2"/>
        <v>22.046873099501308</v>
      </c>
      <c r="L14" s="254">
        <f t="shared" si="2"/>
        <v>24.395607196523386</v>
      </c>
      <c r="M14" s="254">
        <f t="shared" si="2"/>
        <v>23.200318109292613</v>
      </c>
      <c r="N14" s="254">
        <f t="shared" si="2"/>
        <v>22.068471648571037</v>
      </c>
      <c r="O14" s="253">
        <f t="shared" si="3"/>
        <v>23.295062249563642</v>
      </c>
      <c r="P14" s="254">
        <f t="shared" si="3"/>
        <v>18.489857714471103</v>
      </c>
      <c r="Q14" s="254">
        <f t="shared" si="3"/>
        <v>22.046873099501308</v>
      </c>
      <c r="R14" s="254">
        <f t="shared" si="3"/>
        <v>24.395607196523386</v>
      </c>
      <c r="S14" s="254">
        <f t="shared" si="3"/>
        <v>23.200318109292613</v>
      </c>
      <c r="T14" s="254">
        <f t="shared" si="3"/>
        <v>22.068471648571037</v>
      </c>
    </row>
    <row r="15" spans="1:24" ht="9" customHeight="1">
      <c r="A15" s="56"/>
      <c r="B15" s="236" t="s">
        <v>131</v>
      </c>
      <c r="C15" s="112"/>
      <c r="D15" s="113"/>
      <c r="E15" s="113"/>
      <c r="F15" s="113"/>
      <c r="G15" s="113"/>
      <c r="H15" s="112"/>
      <c r="I15" s="205"/>
      <c r="J15" s="75"/>
      <c r="K15" s="75"/>
      <c r="L15" s="75"/>
      <c r="M15" s="75"/>
      <c r="N15" s="75"/>
      <c r="O15" s="205"/>
      <c r="P15" s="75"/>
      <c r="Q15" s="75"/>
      <c r="R15" s="75"/>
      <c r="S15" s="75"/>
      <c r="T15" s="75"/>
    </row>
    <row r="16" spans="1:24" s="57" customFormat="1" ht="12" customHeight="1">
      <c r="B16" s="142" t="s">
        <v>133</v>
      </c>
      <c r="C16" s="112">
        <v>13121209</v>
      </c>
      <c r="D16" s="112">
        <v>643593</v>
      </c>
      <c r="E16" s="112">
        <v>2338583</v>
      </c>
      <c r="F16" s="112">
        <v>6859540</v>
      </c>
      <c r="G16" s="112">
        <v>2177989</v>
      </c>
      <c r="H16" s="112">
        <v>1101504</v>
      </c>
      <c r="I16" s="253">
        <f t="shared" ref="I16:N17" si="4">100*C16/SUM(C$11:C$14)</f>
        <v>99.444759812254674</v>
      </c>
      <c r="J16" s="254">
        <f t="shared" si="4"/>
        <v>99.428849511038322</v>
      </c>
      <c r="K16" s="254">
        <f t="shared" si="4"/>
        <v>99.805730356978998</v>
      </c>
      <c r="L16" s="254">
        <f t="shared" si="4"/>
        <v>99.340025187136717</v>
      </c>
      <c r="M16" s="254">
        <f t="shared" si="4"/>
        <v>99.317451276974424</v>
      </c>
      <c r="N16" s="254">
        <f t="shared" si="4"/>
        <v>99.595651261871865</v>
      </c>
      <c r="O16" s="253">
        <f t="shared" ref="O16:T17" si="5">100*C16/SUM(C$11:C$14)</f>
        <v>99.444759812254674</v>
      </c>
      <c r="P16" s="254">
        <f t="shared" si="5"/>
        <v>99.428849511038322</v>
      </c>
      <c r="Q16" s="254">
        <f t="shared" si="5"/>
        <v>99.805730356978998</v>
      </c>
      <c r="R16" s="254">
        <f t="shared" si="5"/>
        <v>99.340025187136717</v>
      </c>
      <c r="S16" s="254">
        <f t="shared" si="5"/>
        <v>99.317451276974424</v>
      </c>
      <c r="T16" s="254">
        <f t="shared" si="5"/>
        <v>99.595651261871865</v>
      </c>
      <c r="U16" s="70"/>
      <c r="V16" s="70"/>
      <c r="W16" s="70"/>
      <c r="X16" s="70"/>
    </row>
    <row r="17" spans="1:20" s="57" customFormat="1" ht="12" customHeight="1">
      <c r="A17" s="53"/>
      <c r="B17" s="114" t="s">
        <v>134</v>
      </c>
      <c r="C17" s="112">
        <v>73261</v>
      </c>
      <c r="D17" s="112">
        <v>3697</v>
      </c>
      <c r="E17" s="112">
        <v>4552</v>
      </c>
      <c r="F17" s="112">
        <v>45572</v>
      </c>
      <c r="G17" s="112">
        <v>14968</v>
      </c>
      <c r="H17" s="112">
        <v>4472</v>
      </c>
      <c r="I17" s="253">
        <f t="shared" si="4"/>
        <v>0.55524018774532058</v>
      </c>
      <c r="J17" s="254">
        <f t="shared" si="4"/>
        <v>0.57115048896167098</v>
      </c>
      <c r="K17" s="254">
        <f t="shared" si="4"/>
        <v>0.19426964302099536</v>
      </c>
      <c r="L17" s="254">
        <f t="shared" si="4"/>
        <v>0.65997481286328163</v>
      </c>
      <c r="M17" s="254">
        <f t="shared" si="4"/>
        <v>0.6825487230255769</v>
      </c>
      <c r="N17" s="254">
        <f t="shared" si="4"/>
        <v>0.40434873812813299</v>
      </c>
      <c r="O17" s="253">
        <f t="shared" si="5"/>
        <v>0.55524018774532058</v>
      </c>
      <c r="P17" s="254">
        <f t="shared" si="5"/>
        <v>0.57115048896167098</v>
      </c>
      <c r="Q17" s="254">
        <f t="shared" si="5"/>
        <v>0.19426964302099536</v>
      </c>
      <c r="R17" s="254">
        <f t="shared" si="5"/>
        <v>0.65997481286328163</v>
      </c>
      <c r="S17" s="254">
        <f t="shared" si="5"/>
        <v>0.6825487230255769</v>
      </c>
      <c r="T17" s="254">
        <f t="shared" si="5"/>
        <v>0.40434873812813299</v>
      </c>
    </row>
    <row r="18" spans="1:20" ht="9" customHeight="1">
      <c r="A18" s="56"/>
      <c r="B18" s="236" t="s">
        <v>315</v>
      </c>
      <c r="C18" s="112"/>
      <c r="D18" s="113"/>
      <c r="E18" s="113"/>
      <c r="F18" s="113"/>
      <c r="G18" s="113"/>
      <c r="H18" s="112"/>
      <c r="I18" s="205"/>
      <c r="J18" s="75"/>
      <c r="K18" s="75"/>
      <c r="L18" s="75"/>
      <c r="M18" s="75"/>
      <c r="N18" s="75"/>
      <c r="O18" s="205"/>
      <c r="P18" s="75"/>
      <c r="Q18" s="75"/>
      <c r="R18" s="75"/>
      <c r="S18" s="75"/>
      <c r="T18" s="75"/>
    </row>
    <row r="19" spans="1:20" s="57" customFormat="1" ht="12" customHeight="1">
      <c r="A19" s="53"/>
      <c r="B19" s="114" t="s">
        <v>151</v>
      </c>
      <c r="C19" s="112">
        <v>4400526</v>
      </c>
      <c r="D19" s="112">
        <v>75899</v>
      </c>
      <c r="E19" s="112">
        <v>334033</v>
      </c>
      <c r="F19" s="112">
        <v>2605592</v>
      </c>
      <c r="G19" s="112">
        <v>1122961</v>
      </c>
      <c r="H19" s="112">
        <v>262041</v>
      </c>
      <c r="I19" s="253">
        <f t="shared" ref="I19:N25" si="6">100*C19/SUM(C$19:C$25)</f>
        <v>33.351290351185007</v>
      </c>
      <c r="J19" s="254">
        <f>100*D19/SUM(D$19:D$25)</f>
        <v>11.725656197376756</v>
      </c>
      <c r="K19" s="254">
        <f t="shared" si="6"/>
        <v>14.255815392625692</v>
      </c>
      <c r="L19" s="254">
        <f t="shared" si="6"/>
        <v>37.734246743572008</v>
      </c>
      <c r="M19" s="254">
        <f t="shared" si="6"/>
        <v>51.207616018006739</v>
      </c>
      <c r="N19" s="254">
        <f t="shared" si="6"/>
        <v>23.693190448979003</v>
      </c>
      <c r="O19" s="253">
        <f t="shared" ref="O19:O24" si="7">100*C19/SUM(C$19:C$24)</f>
        <v>47.615222368429166</v>
      </c>
      <c r="P19" s="254">
        <f t="shared" ref="P19:T24" si="8">100*D19/SUM(D$19:D$24)</f>
        <v>18.405915191021482</v>
      </c>
      <c r="Q19" s="254">
        <f t="shared" si="8"/>
        <v>22.885132778891851</v>
      </c>
      <c r="R19" s="254">
        <f t="shared" si="8"/>
        <v>52.982716917980852</v>
      </c>
      <c r="S19" s="254">
        <f t="shared" si="8"/>
        <v>67.362368742295502</v>
      </c>
      <c r="T19" s="254">
        <f t="shared" si="8"/>
        <v>33.380253701189019</v>
      </c>
    </row>
    <row r="20" spans="1:20" s="57" customFormat="1" ht="12" customHeight="1">
      <c r="A20" s="53"/>
      <c r="B20" s="114" t="s">
        <v>152</v>
      </c>
      <c r="C20" s="112">
        <v>440725</v>
      </c>
      <c r="D20" s="112">
        <v>10744</v>
      </c>
      <c r="E20" s="112">
        <v>63716</v>
      </c>
      <c r="F20" s="112">
        <v>295811</v>
      </c>
      <c r="G20" s="112">
        <v>42099</v>
      </c>
      <c r="H20" s="112">
        <v>28355</v>
      </c>
      <c r="I20" s="253">
        <f t="shared" si="6"/>
        <v>3.3402251094587352</v>
      </c>
      <c r="J20" s="254">
        <f t="shared" si="6"/>
        <v>1.6598433468769793</v>
      </c>
      <c r="K20" s="254">
        <f t="shared" si="6"/>
        <v>2.7192628679098729</v>
      </c>
      <c r="L20" s="254">
        <f t="shared" si="6"/>
        <v>4.2839420997081579</v>
      </c>
      <c r="M20" s="254">
        <f t="shared" si="6"/>
        <v>1.9197366843034314</v>
      </c>
      <c r="N20" s="254">
        <f t="shared" si="6"/>
        <v>2.5637988527779987</v>
      </c>
      <c r="O20" s="253">
        <f t="shared" si="7"/>
        <v>4.7687978387869867</v>
      </c>
      <c r="P20" s="254">
        <f t="shared" si="8"/>
        <v>2.6054777113313059</v>
      </c>
      <c r="Q20" s="254">
        <f t="shared" si="8"/>
        <v>4.3652846279854787</v>
      </c>
      <c r="R20" s="254">
        <f t="shared" si="8"/>
        <v>6.0150900349037126</v>
      </c>
      <c r="S20" s="254">
        <f t="shared" si="8"/>
        <v>2.5253667417496231</v>
      </c>
      <c r="T20" s="254">
        <f t="shared" si="8"/>
        <v>3.612019087460415</v>
      </c>
    </row>
    <row r="21" spans="1:20" s="57" customFormat="1" ht="12" customHeight="1">
      <c r="A21" s="53"/>
      <c r="B21" s="114" t="s">
        <v>153</v>
      </c>
      <c r="C21" s="112">
        <v>62735</v>
      </c>
      <c r="D21" s="112">
        <v>4357</v>
      </c>
      <c r="E21" s="112">
        <v>14087</v>
      </c>
      <c r="F21" s="112">
        <v>28118</v>
      </c>
      <c r="G21" s="112">
        <v>7741</v>
      </c>
      <c r="H21" s="112">
        <v>8432</v>
      </c>
      <c r="I21" s="253">
        <f t="shared" si="6"/>
        <v>0.47546434225853712</v>
      </c>
      <c r="J21" s="254">
        <f t="shared" si="6"/>
        <v>0.67311406015850705</v>
      </c>
      <c r="K21" s="254">
        <f t="shared" si="6"/>
        <v>0.60120308902389319</v>
      </c>
      <c r="L21" s="254">
        <f t="shared" si="6"/>
        <v>0.40720556017049397</v>
      </c>
      <c r="M21" s="254">
        <f t="shared" si="6"/>
        <v>0.35299369755084115</v>
      </c>
      <c r="N21" s="254">
        <f t="shared" si="6"/>
        <v>0.76240352412710588</v>
      </c>
      <c r="O21" s="253">
        <f t="shared" si="7"/>
        <v>0.67881452700959022</v>
      </c>
      <c r="P21" s="254">
        <f t="shared" si="8"/>
        <v>1.0565959035992647</v>
      </c>
      <c r="Q21" s="254">
        <f t="shared" si="8"/>
        <v>0.96512280360398384</v>
      </c>
      <c r="R21" s="254">
        <f t="shared" si="8"/>
        <v>0.57175798601614747</v>
      </c>
      <c r="S21" s="254">
        <f t="shared" si="8"/>
        <v>0.46435459150772773</v>
      </c>
      <c r="T21" s="254">
        <f t="shared" si="8"/>
        <v>1.0741154979885812</v>
      </c>
    </row>
    <row r="22" spans="1:20" s="57" customFormat="1" ht="12" customHeight="1">
      <c r="A22" s="53"/>
      <c r="B22" s="114" t="s">
        <v>154</v>
      </c>
      <c r="C22" s="112">
        <v>2866505</v>
      </c>
      <c r="D22" s="112">
        <v>246241</v>
      </c>
      <c r="E22" s="112">
        <v>780502</v>
      </c>
      <c r="F22" s="112">
        <v>1371407</v>
      </c>
      <c r="G22" s="112">
        <v>131683</v>
      </c>
      <c r="H22" s="112">
        <v>336672</v>
      </c>
      <c r="I22" s="253">
        <f t="shared" si="6"/>
        <v>21.725048448327215</v>
      </c>
      <c r="J22" s="254">
        <f t="shared" si="6"/>
        <v>38.04183596224258</v>
      </c>
      <c r="K22" s="254">
        <f t="shared" si="6"/>
        <v>33.310159252454511</v>
      </c>
      <c r="L22" s="254">
        <f t="shared" si="6"/>
        <v>19.860749543236953</v>
      </c>
      <c r="M22" s="254">
        <f t="shared" si="6"/>
        <v>6.0048145038867613</v>
      </c>
      <c r="N22" s="254">
        <f t="shared" si="6"/>
        <v>30.441166896930856</v>
      </c>
      <c r="O22" s="253">
        <f t="shared" si="7"/>
        <v>31.016581425769115</v>
      </c>
      <c r="P22" s="254">
        <f t="shared" si="8"/>
        <v>59.714765182048779</v>
      </c>
      <c r="Q22" s="254">
        <f t="shared" si="8"/>
        <v>53.473434972564533</v>
      </c>
      <c r="R22" s="254">
        <f t="shared" si="8"/>
        <v>27.886510574309931</v>
      </c>
      <c r="S22" s="254">
        <f t="shared" si="8"/>
        <v>7.8991868845772011</v>
      </c>
      <c r="T22" s="254">
        <f t="shared" si="8"/>
        <v>42.887169466177845</v>
      </c>
    </row>
    <row r="23" spans="1:20" s="57" customFormat="1" ht="12" customHeight="1">
      <c r="B23" s="142" t="s">
        <v>155</v>
      </c>
      <c r="C23" s="112">
        <v>18735</v>
      </c>
      <c r="D23" s="112">
        <v>955</v>
      </c>
      <c r="E23" s="112">
        <v>3935</v>
      </c>
      <c r="F23" s="112">
        <v>9016</v>
      </c>
      <c r="G23" s="112">
        <v>2234</v>
      </c>
      <c r="H23" s="112">
        <v>2595</v>
      </c>
      <c r="I23" s="253">
        <f t="shared" si="6"/>
        <v>0.14199130393263237</v>
      </c>
      <c r="J23" s="254">
        <f t="shared" si="6"/>
        <v>0.14753819771663396</v>
      </c>
      <c r="K23" s="254">
        <f t="shared" si="6"/>
        <v>0.16793740010712144</v>
      </c>
      <c r="L23" s="254">
        <f t="shared" si="6"/>
        <v>0.13056993137837591</v>
      </c>
      <c r="M23" s="254">
        <f t="shared" si="6"/>
        <v>0.10187158252532995</v>
      </c>
      <c r="N23" s="254">
        <f t="shared" si="6"/>
        <v>0.23463438627962993</v>
      </c>
      <c r="O23" s="253">
        <f t="shared" si="7"/>
        <v>0.20271921835537854</v>
      </c>
      <c r="P23" s="254">
        <f t="shared" si="8"/>
        <v>0.23159262977674955</v>
      </c>
      <c r="Q23" s="254">
        <f t="shared" si="8"/>
        <v>0.26959311650327794</v>
      </c>
      <c r="R23" s="254">
        <f t="shared" si="8"/>
        <v>0.18333345194969716</v>
      </c>
      <c r="S23" s="254">
        <f t="shared" si="8"/>
        <v>0.13400957982537964</v>
      </c>
      <c r="T23" s="254">
        <f t="shared" si="8"/>
        <v>0.33056566855791841</v>
      </c>
    </row>
    <row r="24" spans="1:20" s="57" customFormat="1" ht="12" customHeight="1">
      <c r="A24" s="53"/>
      <c r="B24" s="114" t="s">
        <v>156</v>
      </c>
      <c r="C24" s="112">
        <v>1452621</v>
      </c>
      <c r="D24" s="112">
        <v>74166</v>
      </c>
      <c r="E24" s="112">
        <v>263334</v>
      </c>
      <c r="F24" s="112">
        <v>607871</v>
      </c>
      <c r="G24" s="112">
        <v>360327</v>
      </c>
      <c r="H24" s="112">
        <v>146923</v>
      </c>
      <c r="I24" s="253">
        <f t="shared" si="6"/>
        <v>11.009316781954864</v>
      </c>
      <c r="J24" s="254">
        <f t="shared" si="6"/>
        <v>11.457924577855366</v>
      </c>
      <c r="K24" s="254">
        <f t="shared" si="6"/>
        <v>11.238532991056854</v>
      </c>
      <c r="L24" s="254">
        <f t="shared" si="6"/>
        <v>8.8032026127889011</v>
      </c>
      <c r="M24" s="254">
        <f t="shared" si="6"/>
        <v>16.431101932231229</v>
      </c>
      <c r="N24" s="254">
        <f t="shared" si="6"/>
        <v>13.284465485688658</v>
      </c>
      <c r="O24" s="253">
        <f t="shared" si="7"/>
        <v>15.717864621649763</v>
      </c>
      <c r="P24" s="254">
        <f t="shared" si="8"/>
        <v>17.985653382222416</v>
      </c>
      <c r="Q24" s="254">
        <f t="shared" si="8"/>
        <v>18.041431700450875</v>
      </c>
      <c r="R24" s="254">
        <f t="shared" si="8"/>
        <v>12.360591034839659</v>
      </c>
      <c r="S24" s="254">
        <f t="shared" si="8"/>
        <v>21.61471346004457</v>
      </c>
      <c r="T24" s="254">
        <f t="shared" si="8"/>
        <v>18.715876578626222</v>
      </c>
    </row>
    <row r="25" spans="1:20" s="57" customFormat="1" ht="12" customHeight="1">
      <c r="A25" s="53"/>
      <c r="B25" s="114" t="s">
        <v>157</v>
      </c>
      <c r="C25" s="112">
        <v>3952623</v>
      </c>
      <c r="D25" s="112">
        <v>234928</v>
      </c>
      <c r="E25" s="112">
        <v>883528</v>
      </c>
      <c r="F25" s="112">
        <v>1987297</v>
      </c>
      <c r="G25" s="112">
        <v>525912</v>
      </c>
      <c r="H25" s="112">
        <v>320958</v>
      </c>
      <c r="I25" s="253">
        <f t="shared" si="6"/>
        <v>29.95666366288301</v>
      </c>
      <c r="J25" s="254">
        <f t="shared" si="6"/>
        <v>36.294087657773176</v>
      </c>
      <c r="K25" s="254">
        <f t="shared" si="6"/>
        <v>37.707089006822059</v>
      </c>
      <c r="L25" s="254">
        <f t="shared" si="6"/>
        <v>28.780083509145108</v>
      </c>
      <c r="M25" s="254">
        <f t="shared" si="6"/>
        <v>23.981865581495668</v>
      </c>
      <c r="N25" s="254">
        <f t="shared" si="6"/>
        <v>29.02034040521675</v>
      </c>
      <c r="O25" s="253" t="s">
        <v>65</v>
      </c>
      <c r="P25" s="253" t="s">
        <v>65</v>
      </c>
      <c r="Q25" s="253" t="s">
        <v>65</v>
      </c>
      <c r="R25" s="253" t="s">
        <v>65</v>
      </c>
      <c r="S25" s="253" t="s">
        <v>65</v>
      </c>
      <c r="T25" s="253" t="s">
        <v>65</v>
      </c>
    </row>
    <row r="26" spans="1:20" s="57" customFormat="1" ht="14.25">
      <c r="B26" s="123" t="s">
        <v>168</v>
      </c>
      <c r="C26" s="255"/>
      <c r="D26" s="255"/>
      <c r="E26" s="255"/>
      <c r="F26" s="255"/>
      <c r="G26" s="255"/>
      <c r="H26" s="255"/>
      <c r="I26" s="257"/>
      <c r="J26" s="256"/>
      <c r="K26" s="256"/>
      <c r="L26" s="256"/>
      <c r="M26" s="256"/>
      <c r="N26" s="256"/>
      <c r="O26" s="257"/>
      <c r="P26" s="256"/>
      <c r="Q26" s="256"/>
      <c r="R26" s="256"/>
      <c r="S26" s="256"/>
      <c r="T26" s="256"/>
    </row>
    <row r="27" spans="1:20" ht="12" customHeight="1">
      <c r="A27" s="56"/>
      <c r="B27" s="142" t="s">
        <v>162</v>
      </c>
      <c r="C27" s="112">
        <v>8013034</v>
      </c>
      <c r="D27" s="112">
        <v>362262</v>
      </c>
      <c r="E27" s="112">
        <v>1280341</v>
      </c>
      <c r="F27" s="112">
        <v>4228658</v>
      </c>
      <c r="G27" s="112">
        <v>1464119</v>
      </c>
      <c r="H27" s="112">
        <v>677654</v>
      </c>
      <c r="I27" s="253">
        <f t="shared" ref="I27:N29" si="9">100*C27/SUM(C$27:C$29)</f>
        <v>60.730245322472214</v>
      </c>
      <c r="J27" s="254">
        <f t="shared" si="9"/>
        <v>55.965950346830631</v>
      </c>
      <c r="K27" s="254">
        <f t="shared" si="9"/>
        <v>54.642220785400752</v>
      </c>
      <c r="L27" s="254">
        <f t="shared" si="9"/>
        <v>61.239528048205443</v>
      </c>
      <c r="M27" s="254">
        <f t="shared" si="9"/>
        <v>66.764601403493089</v>
      </c>
      <c r="N27" s="254">
        <f t="shared" si="9"/>
        <v>61.272034836198976</v>
      </c>
      <c r="O27" s="253">
        <f>100*C27/SUM(C$27:C$28)</f>
        <v>86.703815806515735</v>
      </c>
      <c r="P27" s="254">
        <f t="shared" ref="P27:T28" si="10">100*D27/SUM(D$27:D$28)</f>
        <v>87.850480888151679</v>
      </c>
      <c r="Q27" s="254">
        <f t="shared" si="10"/>
        <v>87.718200858176203</v>
      </c>
      <c r="R27" s="254">
        <f t="shared" si="10"/>
        <v>85.986520436413329</v>
      </c>
      <c r="S27" s="254">
        <f t="shared" si="10"/>
        <v>87.827203224867958</v>
      </c>
      <c r="T27" s="254">
        <f t="shared" si="10"/>
        <v>86.323370929074244</v>
      </c>
    </row>
    <row r="28" spans="1:20" ht="14.25">
      <c r="B28" s="114" t="s">
        <v>534</v>
      </c>
      <c r="C28" s="112">
        <v>1228813</v>
      </c>
      <c r="D28" s="112">
        <v>50100</v>
      </c>
      <c r="E28" s="112">
        <v>179266</v>
      </c>
      <c r="F28" s="112">
        <v>689157</v>
      </c>
      <c r="G28" s="112">
        <v>202926</v>
      </c>
      <c r="H28" s="112">
        <v>107364</v>
      </c>
      <c r="I28" s="253">
        <f t="shared" si="9"/>
        <v>9.3130910146447725</v>
      </c>
      <c r="J28" s="254">
        <f t="shared" si="9"/>
        <v>7.7399619953961905</v>
      </c>
      <c r="K28" s="254">
        <f t="shared" si="9"/>
        <v>7.6506902077771874</v>
      </c>
      <c r="L28" s="254">
        <f t="shared" si="9"/>
        <v>9.9803884426494456</v>
      </c>
      <c r="M28" s="254">
        <f t="shared" si="9"/>
        <v>9.2535330150112376</v>
      </c>
      <c r="N28" s="254">
        <f t="shared" si="9"/>
        <v>9.7076247585842736</v>
      </c>
      <c r="O28" s="253">
        <f>100*C28/SUM(C$27:C$28)</f>
        <v>13.296184193484267</v>
      </c>
      <c r="P28" s="254">
        <f t="shared" si="10"/>
        <v>12.149519111848328</v>
      </c>
      <c r="Q28" s="254">
        <f t="shared" si="10"/>
        <v>12.281799141823793</v>
      </c>
      <c r="R28" s="254">
        <f t="shared" si="10"/>
        <v>14.013479563586674</v>
      </c>
      <c r="S28" s="254">
        <f t="shared" si="10"/>
        <v>12.172796775132046</v>
      </c>
      <c r="T28" s="254">
        <f t="shared" si="10"/>
        <v>13.676629070925761</v>
      </c>
    </row>
    <row r="29" spans="1:20" ht="12" customHeight="1">
      <c r="B29" s="239" t="s">
        <v>157</v>
      </c>
      <c r="C29" s="112">
        <v>3952623</v>
      </c>
      <c r="D29" s="112">
        <v>234928</v>
      </c>
      <c r="E29" s="112">
        <v>883528</v>
      </c>
      <c r="F29" s="112">
        <v>1987297</v>
      </c>
      <c r="G29" s="112">
        <v>525912</v>
      </c>
      <c r="H29" s="112">
        <v>320958</v>
      </c>
      <c r="I29" s="258">
        <f t="shared" si="9"/>
        <v>29.95666366288301</v>
      </c>
      <c r="J29" s="259">
        <f t="shared" si="9"/>
        <v>36.294087657773176</v>
      </c>
      <c r="K29" s="254">
        <f t="shared" si="9"/>
        <v>37.707089006822059</v>
      </c>
      <c r="L29" s="259">
        <f t="shared" si="9"/>
        <v>28.780083509145108</v>
      </c>
      <c r="M29" s="254">
        <f t="shared" si="9"/>
        <v>23.981865581495668</v>
      </c>
      <c r="N29" s="259">
        <f t="shared" si="9"/>
        <v>29.02034040521675</v>
      </c>
      <c r="O29" s="258" t="s">
        <v>65</v>
      </c>
      <c r="P29" s="258" t="s">
        <v>65</v>
      </c>
      <c r="Q29" s="258" t="s">
        <v>65</v>
      </c>
      <c r="R29" s="258" t="s">
        <v>65</v>
      </c>
      <c r="S29" s="258" t="s">
        <v>65</v>
      </c>
      <c r="T29" s="258" t="s">
        <v>65</v>
      </c>
    </row>
    <row r="30" spans="1:20" ht="3" customHeight="1">
      <c r="B30" s="260"/>
      <c r="C30" s="260"/>
      <c r="D30" s="260"/>
      <c r="E30" s="260"/>
      <c r="F30" s="260"/>
      <c r="G30" s="260"/>
      <c r="H30" s="260"/>
      <c r="I30" s="205"/>
      <c r="J30" s="75"/>
      <c r="K30" s="166"/>
      <c r="L30" s="75"/>
      <c r="M30" s="166"/>
      <c r="N30" s="75"/>
      <c r="O30" s="205"/>
      <c r="P30" s="75"/>
      <c r="Q30" s="75"/>
      <c r="R30" s="75"/>
      <c r="S30" s="75"/>
      <c r="T30" s="75"/>
    </row>
    <row r="31" spans="1:20" ht="12.75" customHeight="1">
      <c r="B31" s="424" t="s">
        <v>547</v>
      </c>
      <c r="C31" s="424"/>
      <c r="D31" s="424"/>
      <c r="E31" s="424"/>
      <c r="F31" s="424"/>
      <c r="G31" s="424"/>
      <c r="H31" s="424"/>
      <c r="I31" s="424"/>
      <c r="J31" s="424"/>
      <c r="K31" s="424"/>
      <c r="L31" s="424"/>
      <c r="M31" s="424"/>
      <c r="N31" s="424"/>
      <c r="O31" s="424"/>
      <c r="P31" s="424"/>
      <c r="Q31" s="424"/>
      <c r="R31" s="424"/>
      <c r="S31" s="424"/>
      <c r="T31" s="424"/>
    </row>
    <row r="32" spans="1:20" ht="14.25">
      <c r="B32" s="424" t="s">
        <v>617</v>
      </c>
      <c r="C32" s="424"/>
      <c r="D32" s="424"/>
      <c r="E32" s="424"/>
      <c r="F32" s="424"/>
      <c r="G32" s="424"/>
      <c r="H32" s="424"/>
      <c r="I32" s="424"/>
      <c r="J32" s="424"/>
      <c r="K32" s="424"/>
      <c r="L32" s="424"/>
      <c r="M32" s="424"/>
      <c r="N32" s="424"/>
      <c r="O32" s="261"/>
      <c r="P32" s="262"/>
      <c r="Q32" s="262"/>
      <c r="R32" s="262"/>
      <c r="S32" s="262"/>
    </row>
    <row r="33" spans="2:20" ht="23.25" customHeight="1">
      <c r="B33" s="375" t="s">
        <v>618</v>
      </c>
      <c r="C33" s="375"/>
      <c r="D33" s="375"/>
      <c r="E33" s="375"/>
      <c r="F33" s="375"/>
      <c r="G33" s="375"/>
      <c r="H33" s="375"/>
      <c r="I33" s="375"/>
      <c r="J33" s="375"/>
      <c r="K33" s="375"/>
      <c r="L33" s="375"/>
      <c r="M33" s="375"/>
      <c r="N33" s="375"/>
      <c r="O33" s="375"/>
      <c r="P33" s="375"/>
      <c r="Q33" s="375"/>
      <c r="R33" s="375"/>
      <c r="S33" s="375"/>
      <c r="T33" s="375"/>
    </row>
  </sheetData>
  <mergeCells count="8">
    <mergeCell ref="B33:T33"/>
    <mergeCell ref="B31:T31"/>
    <mergeCell ref="B2:T2"/>
    <mergeCell ref="O5:T5"/>
    <mergeCell ref="B32:N32"/>
    <mergeCell ref="B5:B6"/>
    <mergeCell ref="C5:H5"/>
    <mergeCell ref="I5:N5"/>
  </mergeCells>
  <pageMargins left="0.511811024" right="0.511811024" top="0.78740157499999996" bottom="0.78740157499999996" header="0.31496062000000002" footer="0.31496062000000002"/>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F10E1-3EDD-4DDF-B990-2BDB0FC1E1B5}">
  <sheetPr>
    <tabColor rgb="FF92D050"/>
  </sheetPr>
  <dimension ref="B2:D34"/>
  <sheetViews>
    <sheetView showGridLines="0" topLeftCell="A5" workbookViewId="0">
      <selection activeCell="B34" sqref="B34:D34"/>
    </sheetView>
  </sheetViews>
  <sheetFormatPr defaultRowHeight="12"/>
  <cols>
    <col min="1" max="1" width="9.140625" style="75"/>
    <col min="2" max="2" width="22.28515625" style="344" customWidth="1"/>
    <col min="3" max="3" width="18" style="75" customWidth="1"/>
    <col min="4" max="4" width="38.7109375" style="344" customWidth="1"/>
    <col min="5" max="16384" width="9.140625" style="75"/>
  </cols>
  <sheetData>
    <row r="2" spans="2:4">
      <c r="B2" s="345" t="s">
        <v>610</v>
      </c>
    </row>
    <row r="4" spans="2:4" ht="26.25" customHeight="1">
      <c r="B4" s="346" t="s">
        <v>602</v>
      </c>
      <c r="C4" s="347" t="s">
        <v>601</v>
      </c>
      <c r="D4" s="348" t="s">
        <v>600</v>
      </c>
    </row>
    <row r="5" spans="2:4">
      <c r="B5" s="344" t="s">
        <v>573</v>
      </c>
      <c r="C5" s="75" t="s">
        <v>287</v>
      </c>
      <c r="D5" s="349">
        <v>46.76</v>
      </c>
    </row>
    <row r="6" spans="2:4">
      <c r="B6" s="344" t="s">
        <v>574</v>
      </c>
      <c r="C6" s="75" t="s">
        <v>288</v>
      </c>
      <c r="D6" s="349">
        <v>49.6</v>
      </c>
    </row>
    <row r="7" spans="2:4">
      <c r="B7" s="344" t="s">
        <v>575</v>
      </c>
      <c r="C7" s="75" t="s">
        <v>289</v>
      </c>
      <c r="D7" s="349">
        <v>46.63</v>
      </c>
    </row>
    <row r="8" spans="2:4">
      <c r="B8" s="344" t="s">
        <v>576</v>
      </c>
      <c r="C8" s="75" t="s">
        <v>290</v>
      </c>
      <c r="D8" s="349">
        <v>45.51</v>
      </c>
    </row>
    <row r="9" spans="2:4">
      <c r="B9" s="344" t="s">
        <v>577</v>
      </c>
      <c r="C9" s="75" t="s">
        <v>291</v>
      </c>
      <c r="D9" s="349">
        <v>47.36</v>
      </c>
    </row>
    <row r="10" spans="2:4">
      <c r="B10" s="344" t="s">
        <v>578</v>
      </c>
      <c r="C10" s="75" t="s">
        <v>292</v>
      </c>
      <c r="D10" s="349">
        <v>46</v>
      </c>
    </row>
    <row r="11" spans="2:4">
      <c r="B11" s="344" t="s">
        <v>579</v>
      </c>
      <c r="C11" s="75" t="s">
        <v>293</v>
      </c>
      <c r="D11" s="349">
        <v>46.41</v>
      </c>
    </row>
    <row r="12" spans="2:4">
      <c r="B12" s="344" t="s">
        <v>580</v>
      </c>
      <c r="C12" s="75" t="s">
        <v>294</v>
      </c>
      <c r="D12" s="349">
        <v>44.84</v>
      </c>
    </row>
    <row r="13" spans="2:4">
      <c r="B13" s="344" t="s">
        <v>581</v>
      </c>
      <c r="C13" s="75" t="s">
        <v>295</v>
      </c>
      <c r="D13" s="349">
        <v>44.09</v>
      </c>
    </row>
    <row r="14" spans="2:4">
      <c r="B14" s="344" t="s">
        <v>582</v>
      </c>
      <c r="C14" s="75" t="s">
        <v>296</v>
      </c>
      <c r="D14" s="349">
        <v>47.32</v>
      </c>
    </row>
    <row r="15" spans="2:4">
      <c r="B15" s="344" t="s">
        <v>583</v>
      </c>
      <c r="C15" s="75" t="s">
        <v>297</v>
      </c>
      <c r="D15" s="349">
        <v>48.93</v>
      </c>
    </row>
    <row r="16" spans="2:4">
      <c r="B16" s="344" t="s">
        <v>584</v>
      </c>
      <c r="C16" s="75" t="s">
        <v>298</v>
      </c>
      <c r="D16" s="349">
        <v>44.5</v>
      </c>
    </row>
    <row r="17" spans="2:4">
      <c r="B17" s="344" t="s">
        <v>585</v>
      </c>
      <c r="C17" s="75" t="s">
        <v>299</v>
      </c>
      <c r="D17" s="349">
        <v>47.45</v>
      </c>
    </row>
    <row r="18" spans="2:4">
      <c r="B18" s="344" t="s">
        <v>586</v>
      </c>
      <c r="C18" s="75" t="s">
        <v>300</v>
      </c>
      <c r="D18" s="349">
        <v>45.17</v>
      </c>
    </row>
    <row r="19" spans="2:4">
      <c r="B19" s="344" t="s">
        <v>587</v>
      </c>
      <c r="C19" s="75" t="s">
        <v>301</v>
      </c>
      <c r="D19" s="349">
        <v>46.7</v>
      </c>
    </row>
    <row r="20" spans="2:4">
      <c r="B20" s="344" t="s">
        <v>588</v>
      </c>
      <c r="C20" s="75" t="s">
        <v>302</v>
      </c>
      <c r="D20" s="349">
        <v>44.52</v>
      </c>
    </row>
    <row r="21" spans="2:4">
      <c r="B21" s="344" t="s">
        <v>589</v>
      </c>
      <c r="C21" s="75" t="s">
        <v>303</v>
      </c>
      <c r="D21" s="349">
        <v>46.4</v>
      </c>
    </row>
    <row r="22" spans="2:4">
      <c r="B22" s="344" t="s">
        <v>590</v>
      </c>
      <c r="C22" s="75" t="s">
        <v>304</v>
      </c>
      <c r="D22" s="349">
        <v>46.55</v>
      </c>
    </row>
    <row r="23" spans="2:4">
      <c r="B23" s="344" t="s">
        <v>591</v>
      </c>
      <c r="C23" s="75" t="s">
        <v>305</v>
      </c>
      <c r="D23" s="349">
        <v>47.54</v>
      </c>
    </row>
    <row r="24" spans="2:4">
      <c r="B24" s="344" t="s">
        <v>592</v>
      </c>
      <c r="C24" s="75" t="s">
        <v>306</v>
      </c>
      <c r="D24" s="349">
        <v>43.71</v>
      </c>
    </row>
    <row r="25" spans="2:4">
      <c r="B25" s="344" t="s">
        <v>593</v>
      </c>
      <c r="C25" s="75" t="s">
        <v>307</v>
      </c>
      <c r="D25" s="349">
        <v>46.49</v>
      </c>
    </row>
    <row r="26" spans="2:4">
      <c r="B26" s="344" t="s">
        <v>594</v>
      </c>
      <c r="C26" s="75" t="s">
        <v>308</v>
      </c>
      <c r="D26" s="349">
        <v>46.58</v>
      </c>
    </row>
    <row r="27" spans="2:4">
      <c r="B27" s="344" t="s">
        <v>595</v>
      </c>
      <c r="C27" s="75" t="s">
        <v>309</v>
      </c>
      <c r="D27" s="349">
        <v>41.87</v>
      </c>
    </row>
    <row r="28" spans="2:4">
      <c r="B28" s="344" t="s">
        <v>596</v>
      </c>
      <c r="C28" s="75" t="s">
        <v>310</v>
      </c>
      <c r="D28" s="349">
        <v>44.34</v>
      </c>
    </row>
    <row r="29" spans="2:4">
      <c r="B29" s="344" t="s">
        <v>597</v>
      </c>
      <c r="C29" s="75" t="s">
        <v>311</v>
      </c>
      <c r="D29" s="349">
        <v>45.42</v>
      </c>
    </row>
    <row r="30" spans="2:4">
      <c r="B30" s="344" t="s">
        <v>598</v>
      </c>
      <c r="C30" s="75" t="s">
        <v>312</v>
      </c>
      <c r="D30" s="349">
        <v>45.31</v>
      </c>
    </row>
    <row r="31" spans="2:4">
      <c r="B31" s="342" t="s">
        <v>599</v>
      </c>
      <c r="C31" s="148" t="s">
        <v>313</v>
      </c>
      <c r="D31" s="350">
        <v>46.6</v>
      </c>
    </row>
    <row r="33" spans="2:4" ht="24" customHeight="1">
      <c r="B33" s="411" t="s">
        <v>603</v>
      </c>
      <c r="C33" s="411"/>
      <c r="D33" s="411"/>
    </row>
    <row r="34" spans="2:4">
      <c r="B34" s="489" t="s">
        <v>604</v>
      </c>
      <c r="C34" s="489"/>
      <c r="D34" s="489"/>
    </row>
  </sheetData>
  <mergeCells count="2">
    <mergeCell ref="B33:D33"/>
    <mergeCell ref="B34:D34"/>
  </mergeCells>
  <pageMargins left="0.511811024" right="0.511811024" top="0.78740157499999996" bottom="0.78740157499999996" header="0.31496062000000002" footer="0.3149606200000000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B8A0-2A60-42FD-9441-A9B85B4BCA4F}">
  <sheetPr>
    <tabColor rgb="FF92D050"/>
  </sheetPr>
  <dimension ref="B2:M227"/>
  <sheetViews>
    <sheetView showGridLines="0" topLeftCell="A198" zoomScaleNormal="100" workbookViewId="0">
      <selection activeCell="B226" sqref="B226:G226"/>
    </sheetView>
  </sheetViews>
  <sheetFormatPr defaultRowHeight="15"/>
  <cols>
    <col min="2" max="2" width="7.85546875" customWidth="1"/>
    <col min="3" max="3" width="8" customWidth="1"/>
    <col min="4" max="4" width="54" customWidth="1"/>
    <col min="5" max="5" width="10.28515625" customWidth="1"/>
    <col min="6" max="6" width="10.5703125" customWidth="1"/>
    <col min="7" max="7" width="19" customWidth="1"/>
  </cols>
  <sheetData>
    <row r="2" spans="2:13">
      <c r="C2" s="490" t="s">
        <v>611</v>
      </c>
      <c r="D2" s="490"/>
      <c r="E2" s="490"/>
      <c r="F2" s="490"/>
      <c r="G2" s="490"/>
    </row>
    <row r="3" spans="2:13">
      <c r="C3" s="279"/>
      <c r="D3" s="278"/>
      <c r="E3" s="278"/>
      <c r="F3" s="278"/>
      <c r="G3" s="278"/>
    </row>
    <row r="4" spans="2:13" ht="47.25" customHeight="1">
      <c r="B4" s="189" t="s">
        <v>525</v>
      </c>
      <c r="C4" s="362" t="s">
        <v>275</v>
      </c>
      <c r="D4" s="491"/>
      <c r="E4" s="264" t="s">
        <v>115</v>
      </c>
      <c r="F4" s="149" t="s">
        <v>316</v>
      </c>
      <c r="G4" s="149" t="s">
        <v>317</v>
      </c>
      <c r="H4" s="26"/>
      <c r="M4" s="282"/>
    </row>
    <row r="5" spans="2:13">
      <c r="B5" s="273"/>
      <c r="C5" s="272" t="s">
        <v>8</v>
      </c>
      <c r="D5" s="263"/>
      <c r="E5" s="140">
        <v>13194470</v>
      </c>
      <c r="F5" s="265">
        <v>19.235226810729312</v>
      </c>
      <c r="G5" s="265">
        <v>37.985398428280938</v>
      </c>
      <c r="H5" s="26"/>
    </row>
    <row r="6" spans="2:13">
      <c r="B6" s="274" t="s">
        <v>11</v>
      </c>
      <c r="C6" s="266" t="s">
        <v>318</v>
      </c>
      <c r="D6" s="267" t="s">
        <v>319</v>
      </c>
      <c r="E6" s="140">
        <v>1882</v>
      </c>
      <c r="F6" s="265">
        <v>13.87598613875986</v>
      </c>
      <c r="G6" s="265">
        <v>28.002125398512224</v>
      </c>
    </row>
    <row r="7" spans="2:13">
      <c r="B7" s="274" t="s">
        <v>11</v>
      </c>
      <c r="C7" s="266" t="s">
        <v>320</v>
      </c>
      <c r="D7" s="267" t="s">
        <v>321</v>
      </c>
      <c r="E7" s="140">
        <v>7782</v>
      </c>
      <c r="F7" s="265">
        <v>67.953195948305975</v>
      </c>
      <c r="G7" s="265">
        <v>36.520174762271914</v>
      </c>
    </row>
    <row r="8" spans="2:13">
      <c r="B8" s="274" t="s">
        <v>11</v>
      </c>
      <c r="C8" s="266" t="s">
        <v>322</v>
      </c>
      <c r="D8" s="267" t="s">
        <v>323</v>
      </c>
      <c r="E8" s="140">
        <v>33227</v>
      </c>
      <c r="F8" s="265">
        <v>32.797030924578777</v>
      </c>
      <c r="G8" s="265">
        <v>33.099587684714237</v>
      </c>
    </row>
    <row r="9" spans="2:13">
      <c r="B9" s="268" t="s">
        <v>11</v>
      </c>
      <c r="C9" s="266" t="s">
        <v>324</v>
      </c>
      <c r="D9" s="267" t="s">
        <v>325</v>
      </c>
      <c r="E9" s="140">
        <v>310</v>
      </c>
      <c r="F9" s="265">
        <v>2.2851245761462478</v>
      </c>
      <c r="G9" s="265">
        <v>40.967741935483872</v>
      </c>
    </row>
    <row r="10" spans="2:13">
      <c r="B10" s="268" t="s">
        <v>11</v>
      </c>
      <c r="C10" s="266" t="s">
        <v>326</v>
      </c>
      <c r="D10" s="267" t="s">
        <v>327</v>
      </c>
      <c r="E10" s="140">
        <v>722</v>
      </c>
      <c r="F10" s="265">
        <v>8.8285644411836639</v>
      </c>
      <c r="G10" s="265">
        <v>9.5567867036011087</v>
      </c>
    </row>
    <row r="11" spans="2:13">
      <c r="B11" s="268" t="s">
        <v>11</v>
      </c>
      <c r="C11" s="266" t="s">
        <v>328</v>
      </c>
      <c r="D11" s="267" t="s">
        <v>329</v>
      </c>
      <c r="E11" s="140">
        <v>1921</v>
      </c>
      <c r="F11" s="265">
        <v>30.521131236097869</v>
      </c>
      <c r="G11" s="265">
        <v>25.871941697032796</v>
      </c>
    </row>
    <row r="12" spans="2:13">
      <c r="B12" s="268" t="s">
        <v>15</v>
      </c>
      <c r="C12" s="266" t="s">
        <v>330</v>
      </c>
      <c r="D12" s="267" t="s">
        <v>331</v>
      </c>
      <c r="E12" s="140">
        <v>166</v>
      </c>
      <c r="F12" s="265">
        <v>4.9054373522458627</v>
      </c>
      <c r="G12" s="265">
        <v>10.240963855421686</v>
      </c>
    </row>
    <row r="13" spans="2:13">
      <c r="B13" s="268" t="s">
        <v>18</v>
      </c>
      <c r="C13" s="268">
        <v>10139</v>
      </c>
      <c r="D13" s="267" t="s">
        <v>332</v>
      </c>
      <c r="E13" s="140">
        <v>5068</v>
      </c>
      <c r="F13" s="265">
        <v>8.988843759422501</v>
      </c>
      <c r="G13" s="265">
        <v>34.668508287292816</v>
      </c>
    </row>
    <row r="14" spans="2:13">
      <c r="B14" s="268" t="s">
        <v>18</v>
      </c>
      <c r="C14" s="268">
        <v>10317</v>
      </c>
      <c r="D14" s="267" t="s">
        <v>333</v>
      </c>
      <c r="E14" s="140">
        <v>6797</v>
      </c>
      <c r="F14" s="265">
        <v>15.285836369360862</v>
      </c>
      <c r="G14" s="265">
        <v>34.412240694424014</v>
      </c>
    </row>
    <row r="15" spans="2:13">
      <c r="B15" s="268" t="s">
        <v>18</v>
      </c>
      <c r="C15" s="268">
        <v>10325</v>
      </c>
      <c r="D15" s="267" t="s">
        <v>334</v>
      </c>
      <c r="E15" s="140">
        <v>1720</v>
      </c>
      <c r="F15" s="265">
        <v>9.9560083352627924</v>
      </c>
      <c r="G15" s="265">
        <v>36.279069767441861</v>
      </c>
    </row>
    <row r="16" spans="2:13">
      <c r="B16" s="268" t="s">
        <v>18</v>
      </c>
      <c r="C16" s="268">
        <v>10333</v>
      </c>
      <c r="D16" s="267" t="s">
        <v>335</v>
      </c>
      <c r="E16" s="140">
        <v>3804</v>
      </c>
      <c r="F16" s="265">
        <v>7.0245415766439532</v>
      </c>
      <c r="G16" s="265">
        <v>30.49421661409043</v>
      </c>
    </row>
    <row r="17" spans="2:7">
      <c r="B17" s="268" t="s">
        <v>18</v>
      </c>
      <c r="C17" s="268">
        <v>10520</v>
      </c>
      <c r="D17" s="267" t="s">
        <v>336</v>
      </c>
      <c r="E17" s="140">
        <v>4544</v>
      </c>
      <c r="F17" s="265">
        <v>4.1411867635130832</v>
      </c>
      <c r="G17" s="265">
        <v>28.917253521126764</v>
      </c>
    </row>
    <row r="18" spans="2:7">
      <c r="B18" s="268" t="s">
        <v>18</v>
      </c>
      <c r="C18" s="268">
        <v>10619</v>
      </c>
      <c r="D18" s="267" t="s">
        <v>337</v>
      </c>
      <c r="E18" s="140">
        <v>207</v>
      </c>
      <c r="F18" s="265">
        <v>0.77106459062802657</v>
      </c>
      <c r="G18" s="265">
        <v>14.492753623188406</v>
      </c>
    </row>
    <row r="19" spans="2:7">
      <c r="B19" s="268" t="s">
        <v>18</v>
      </c>
      <c r="C19" s="268">
        <v>10635</v>
      </c>
      <c r="D19" s="267" t="s">
        <v>338</v>
      </c>
      <c r="E19" s="140">
        <v>1383</v>
      </c>
      <c r="F19" s="265">
        <v>27.128285602196939</v>
      </c>
      <c r="G19" s="265">
        <v>29.284164859002171</v>
      </c>
    </row>
    <row r="20" spans="2:7">
      <c r="B20" s="268" t="s">
        <v>18</v>
      </c>
      <c r="C20" s="268">
        <v>10643</v>
      </c>
      <c r="D20" s="267" t="s">
        <v>339</v>
      </c>
      <c r="E20" s="140">
        <v>434</v>
      </c>
      <c r="F20" s="265">
        <v>2.0905587668593446</v>
      </c>
      <c r="G20" s="265">
        <v>31.797235023041477</v>
      </c>
    </row>
    <row r="21" spans="2:7">
      <c r="B21" s="268" t="s">
        <v>18</v>
      </c>
      <c r="C21" s="268">
        <v>10651</v>
      </c>
      <c r="D21" s="267" t="s">
        <v>340</v>
      </c>
      <c r="E21" s="140">
        <v>644</v>
      </c>
      <c r="F21" s="265">
        <v>7.2019682397673899</v>
      </c>
      <c r="G21" s="265">
        <v>29.658385093167698</v>
      </c>
    </row>
    <row r="22" spans="2:7">
      <c r="B22" s="268" t="s">
        <v>18</v>
      </c>
      <c r="C22" s="268">
        <v>10694</v>
      </c>
      <c r="D22" s="267" t="s">
        <v>341</v>
      </c>
      <c r="E22" s="140">
        <v>501</v>
      </c>
      <c r="F22" s="265">
        <v>6.9573670323566175</v>
      </c>
      <c r="G22" s="265">
        <v>32.734530938123754</v>
      </c>
    </row>
    <row r="23" spans="2:7">
      <c r="B23" s="268" t="s">
        <v>18</v>
      </c>
      <c r="C23" s="268">
        <v>10716</v>
      </c>
      <c r="D23" s="267" t="s">
        <v>342</v>
      </c>
      <c r="E23" s="140">
        <v>555</v>
      </c>
      <c r="F23" s="265">
        <v>0.24760647078243642</v>
      </c>
      <c r="G23" s="265">
        <v>26.126126126126124</v>
      </c>
    </row>
    <row r="24" spans="2:7">
      <c r="B24" s="268" t="s">
        <v>18</v>
      </c>
      <c r="C24" s="268">
        <v>10911</v>
      </c>
      <c r="D24" s="267" t="s">
        <v>343</v>
      </c>
      <c r="E24" s="140">
        <v>167787</v>
      </c>
      <c r="F24" s="265">
        <v>46.290538396810724</v>
      </c>
      <c r="G24" s="265">
        <v>39.527496170740285</v>
      </c>
    </row>
    <row r="25" spans="2:7">
      <c r="B25" s="268" t="s">
        <v>18</v>
      </c>
      <c r="C25" s="268">
        <v>10929</v>
      </c>
      <c r="D25" s="267" t="s">
        <v>344</v>
      </c>
      <c r="E25" s="140">
        <v>5937</v>
      </c>
      <c r="F25" s="265">
        <v>9.3535834134198783</v>
      </c>
      <c r="G25" s="265">
        <v>39.919151086407275</v>
      </c>
    </row>
    <row r="26" spans="2:7">
      <c r="B26" s="268" t="s">
        <v>18</v>
      </c>
      <c r="C26" s="268">
        <v>10937</v>
      </c>
      <c r="D26" s="267" t="s">
        <v>345</v>
      </c>
      <c r="E26" s="140">
        <v>11226</v>
      </c>
      <c r="F26" s="265">
        <v>19.572835846918316</v>
      </c>
      <c r="G26" s="265">
        <v>41.52859433458044</v>
      </c>
    </row>
    <row r="27" spans="2:7">
      <c r="B27" s="268" t="s">
        <v>18</v>
      </c>
      <c r="C27" s="268">
        <v>10945</v>
      </c>
      <c r="D27" s="267" t="s">
        <v>346</v>
      </c>
      <c r="E27" s="140">
        <v>19954</v>
      </c>
      <c r="F27" s="265">
        <v>36.674079655939273</v>
      </c>
      <c r="G27" s="265">
        <v>35.361331061441312</v>
      </c>
    </row>
    <row r="28" spans="2:7">
      <c r="B28" s="263"/>
      <c r="C28" s="263"/>
      <c r="D28" s="263"/>
      <c r="E28" s="263"/>
      <c r="F28" s="263"/>
      <c r="G28" s="263"/>
    </row>
    <row r="29" spans="2:7">
      <c r="B29" s="268" t="s">
        <v>18</v>
      </c>
      <c r="C29" s="268">
        <v>10953</v>
      </c>
      <c r="D29" s="267" t="s">
        <v>347</v>
      </c>
      <c r="E29" s="140">
        <v>3817</v>
      </c>
      <c r="F29" s="265">
        <v>14.171678918838643</v>
      </c>
      <c r="G29" s="265">
        <v>36.651820801676713</v>
      </c>
    </row>
    <row r="30" spans="2:7">
      <c r="B30" s="268" t="s">
        <v>18</v>
      </c>
      <c r="C30" s="268">
        <v>10961</v>
      </c>
      <c r="D30" s="267" t="s">
        <v>348</v>
      </c>
      <c r="E30" s="140">
        <v>24920</v>
      </c>
      <c r="F30" s="265">
        <v>61.643496759511208</v>
      </c>
      <c r="G30" s="265">
        <v>38.571428571428577</v>
      </c>
    </row>
    <row r="31" spans="2:7">
      <c r="B31" s="268" t="s">
        <v>18</v>
      </c>
      <c r="C31" s="268">
        <v>10996</v>
      </c>
      <c r="D31" s="267" t="s">
        <v>349</v>
      </c>
      <c r="E31" s="140">
        <v>3671</v>
      </c>
      <c r="F31" s="265">
        <v>5.0497964124573569</v>
      </c>
      <c r="G31" s="265">
        <v>37.428493598474532</v>
      </c>
    </row>
    <row r="32" spans="2:7">
      <c r="B32" s="268" t="s">
        <v>18</v>
      </c>
      <c r="C32" s="268">
        <v>11224</v>
      </c>
      <c r="D32" s="267" t="s">
        <v>350</v>
      </c>
      <c r="E32" s="140">
        <v>356</v>
      </c>
      <c r="F32" s="265">
        <v>0.4910886718534459</v>
      </c>
      <c r="G32" s="265">
        <v>32.584269662921351</v>
      </c>
    </row>
    <row r="33" spans="2:7">
      <c r="B33" s="268" t="s">
        <v>18</v>
      </c>
      <c r="C33" s="268">
        <v>12204</v>
      </c>
      <c r="D33" s="267" t="s">
        <v>351</v>
      </c>
      <c r="E33" s="140">
        <v>525</v>
      </c>
      <c r="F33" s="265">
        <v>5.299818291944276</v>
      </c>
      <c r="G33" s="265">
        <v>32.38095238095238</v>
      </c>
    </row>
    <row r="34" spans="2:7">
      <c r="B34" s="268" t="s">
        <v>18</v>
      </c>
      <c r="C34" s="268">
        <v>13111</v>
      </c>
      <c r="D34" s="267" t="s">
        <v>352</v>
      </c>
      <c r="E34" s="140">
        <v>180</v>
      </c>
      <c r="F34" s="265">
        <v>0.86037952296735343</v>
      </c>
      <c r="G34" s="265">
        <v>28.888888888888886</v>
      </c>
    </row>
    <row r="35" spans="2:7">
      <c r="B35" s="268" t="s">
        <v>18</v>
      </c>
      <c r="C35" s="268">
        <v>13120</v>
      </c>
      <c r="D35" s="267" t="s">
        <v>353</v>
      </c>
      <c r="E35" s="140">
        <v>147</v>
      </c>
      <c r="F35" s="265">
        <v>3.6585365853658534</v>
      </c>
      <c r="G35" s="265">
        <v>34.693877551020407</v>
      </c>
    </row>
    <row r="36" spans="2:7">
      <c r="B36" s="268" t="s">
        <v>18</v>
      </c>
      <c r="C36" s="268">
        <v>13219</v>
      </c>
      <c r="D36" s="267" t="s">
        <v>354</v>
      </c>
      <c r="E36" s="140">
        <v>260</v>
      </c>
      <c r="F36" s="265">
        <v>0.49727455293105099</v>
      </c>
      <c r="G36" s="265">
        <v>40.384615384615387</v>
      </c>
    </row>
    <row r="37" spans="2:7">
      <c r="B37" s="268" t="s">
        <v>18</v>
      </c>
      <c r="C37" s="268">
        <v>13227</v>
      </c>
      <c r="D37" s="267" t="s">
        <v>355</v>
      </c>
      <c r="E37" s="140">
        <v>851</v>
      </c>
      <c r="F37" s="265">
        <v>18.894316163410302</v>
      </c>
      <c r="G37" s="265">
        <v>41.598119858989421</v>
      </c>
    </row>
    <row r="38" spans="2:7">
      <c r="B38" s="268" t="s">
        <v>18</v>
      </c>
      <c r="C38" s="268">
        <v>13405</v>
      </c>
      <c r="D38" s="267" t="s">
        <v>356</v>
      </c>
      <c r="E38" s="140">
        <v>30838</v>
      </c>
      <c r="F38" s="265">
        <v>46.512118972564515</v>
      </c>
      <c r="G38" s="265">
        <v>45.722809520721185</v>
      </c>
    </row>
    <row r="39" spans="2:7">
      <c r="B39" s="268" t="s">
        <v>18</v>
      </c>
      <c r="C39" s="268">
        <v>13511</v>
      </c>
      <c r="D39" s="267" t="s">
        <v>357</v>
      </c>
      <c r="E39" s="140">
        <v>5912</v>
      </c>
      <c r="F39" s="265">
        <v>15.258743063621113</v>
      </c>
      <c r="G39" s="265">
        <v>43.217185385656293</v>
      </c>
    </row>
    <row r="40" spans="2:7">
      <c r="B40" s="268" t="s">
        <v>18</v>
      </c>
      <c r="C40" s="268">
        <v>13529</v>
      </c>
      <c r="D40" s="267" t="s">
        <v>358</v>
      </c>
      <c r="E40" s="140">
        <v>7864</v>
      </c>
      <c r="F40" s="265">
        <v>53.896237406620514</v>
      </c>
      <c r="G40" s="265">
        <v>34.003051881993898</v>
      </c>
    </row>
    <row r="41" spans="2:7">
      <c r="B41" s="268" t="s">
        <v>18</v>
      </c>
      <c r="C41" s="268">
        <v>13537</v>
      </c>
      <c r="D41" s="267" t="s">
        <v>359</v>
      </c>
      <c r="E41" s="140">
        <v>242</v>
      </c>
      <c r="F41" s="265">
        <v>4.3014575186633488</v>
      </c>
      <c r="G41" s="265">
        <v>39.669421487603309</v>
      </c>
    </row>
    <row r="42" spans="2:7">
      <c r="B42" s="268" t="s">
        <v>18</v>
      </c>
      <c r="C42" s="268">
        <v>13596</v>
      </c>
      <c r="D42" s="267" t="s">
        <v>360</v>
      </c>
      <c r="E42" s="140">
        <v>34125</v>
      </c>
      <c r="F42" s="265">
        <v>49.699255785503112</v>
      </c>
      <c r="G42" s="265">
        <v>48.041025641025641</v>
      </c>
    </row>
    <row r="43" spans="2:7">
      <c r="B43" s="268" t="s">
        <v>18</v>
      </c>
      <c r="C43" s="268">
        <v>14118</v>
      </c>
      <c r="D43" s="267" t="s">
        <v>361</v>
      </c>
      <c r="E43" s="140">
        <v>12436</v>
      </c>
      <c r="F43" s="265">
        <v>11.785443517816528</v>
      </c>
      <c r="G43" s="265">
        <v>41.564811836603411</v>
      </c>
    </row>
    <row r="44" spans="2:7">
      <c r="B44" s="268" t="s">
        <v>18</v>
      </c>
      <c r="C44" s="268">
        <v>14126</v>
      </c>
      <c r="D44" s="267" t="s">
        <v>56</v>
      </c>
      <c r="E44" s="140">
        <v>265351</v>
      </c>
      <c r="F44" s="265">
        <v>36.772282935563169</v>
      </c>
      <c r="G44" s="265">
        <v>45.662537544610721</v>
      </c>
    </row>
    <row r="45" spans="2:7">
      <c r="B45" s="268" t="s">
        <v>18</v>
      </c>
      <c r="C45" s="268">
        <v>14134</v>
      </c>
      <c r="D45" s="267" t="s">
        <v>362</v>
      </c>
      <c r="E45" s="140">
        <v>5788</v>
      </c>
      <c r="F45" s="265">
        <v>14.650568253727187</v>
      </c>
      <c r="G45" s="265">
        <v>39.080856945404285</v>
      </c>
    </row>
    <row r="46" spans="2:7">
      <c r="B46" s="268" t="s">
        <v>18</v>
      </c>
      <c r="C46" s="268">
        <v>14142</v>
      </c>
      <c r="D46" s="267" t="s">
        <v>363</v>
      </c>
      <c r="E46" s="140">
        <v>1224</v>
      </c>
      <c r="F46" s="265">
        <v>9.2342512259524714</v>
      </c>
      <c r="G46" s="265">
        <v>36.029411764705884</v>
      </c>
    </row>
    <row r="47" spans="2:7">
      <c r="B47" s="268" t="s">
        <v>18</v>
      </c>
      <c r="C47" s="268">
        <v>14215</v>
      </c>
      <c r="D47" s="267" t="s">
        <v>364</v>
      </c>
      <c r="E47" s="140">
        <v>162</v>
      </c>
      <c r="F47" s="265">
        <v>2.6816752193345472</v>
      </c>
      <c r="G47" s="265">
        <v>43.209876543209873</v>
      </c>
    </row>
    <row r="48" spans="2:7">
      <c r="B48" s="268" t="s">
        <v>18</v>
      </c>
      <c r="C48" s="268">
        <v>14223</v>
      </c>
      <c r="D48" s="267" t="s">
        <v>365</v>
      </c>
      <c r="E48" s="140">
        <v>9120</v>
      </c>
      <c r="F48" s="265">
        <v>48.141891891891895</v>
      </c>
      <c r="G48" s="265">
        <v>48.760964912280699</v>
      </c>
    </row>
    <row r="49" spans="2:7">
      <c r="B49" s="268" t="s">
        <v>18</v>
      </c>
      <c r="C49" s="268">
        <v>15106</v>
      </c>
      <c r="D49" s="267" t="s">
        <v>366</v>
      </c>
      <c r="E49" s="140">
        <v>202</v>
      </c>
      <c r="F49" s="265">
        <v>0.80812930068811017</v>
      </c>
      <c r="G49" s="265">
        <v>43.069306930693067</v>
      </c>
    </row>
    <row r="50" spans="2:7">
      <c r="B50" s="268" t="s">
        <v>18</v>
      </c>
      <c r="C50" s="268">
        <v>15211</v>
      </c>
      <c r="D50" s="267" t="s">
        <v>367</v>
      </c>
      <c r="E50" s="140">
        <v>5653</v>
      </c>
      <c r="F50" s="265">
        <v>29.373863341127564</v>
      </c>
      <c r="G50" s="265">
        <v>44.277374845214929</v>
      </c>
    </row>
    <row r="51" spans="2:7">
      <c r="B51" s="268" t="s">
        <v>18</v>
      </c>
      <c r="C51" s="268">
        <v>15297</v>
      </c>
      <c r="D51" s="267" t="s">
        <v>368</v>
      </c>
      <c r="E51" s="140">
        <v>6270</v>
      </c>
      <c r="F51" s="265">
        <v>42.310547270396114</v>
      </c>
      <c r="G51" s="265">
        <v>39.4896331738437</v>
      </c>
    </row>
    <row r="52" spans="2:7">
      <c r="B52" s="268"/>
      <c r="C52" s="268"/>
      <c r="D52" s="267"/>
      <c r="E52" s="140"/>
      <c r="F52" s="265"/>
      <c r="G52" s="265"/>
    </row>
    <row r="53" spans="2:7" ht="48">
      <c r="B53" s="280" t="s">
        <v>525</v>
      </c>
      <c r="C53" s="482" t="s">
        <v>275</v>
      </c>
      <c r="D53" s="491"/>
      <c r="E53" s="264" t="s">
        <v>115</v>
      </c>
      <c r="F53" s="149" t="s">
        <v>316</v>
      </c>
      <c r="G53" s="149" t="s">
        <v>317</v>
      </c>
    </row>
    <row r="54" spans="2:7">
      <c r="B54" s="281" t="s">
        <v>18</v>
      </c>
      <c r="C54" s="268">
        <v>15319</v>
      </c>
      <c r="D54" s="267" t="s">
        <v>369</v>
      </c>
      <c r="E54" s="140">
        <v>8686</v>
      </c>
      <c r="F54" s="265">
        <v>7.1297823963489213</v>
      </c>
      <c r="G54" s="265">
        <v>30.428275385678106</v>
      </c>
    </row>
    <row r="55" spans="2:7">
      <c r="B55" s="268" t="s">
        <v>18</v>
      </c>
      <c r="C55" s="268">
        <v>15394</v>
      </c>
      <c r="D55" s="267" t="s">
        <v>370</v>
      </c>
      <c r="E55" s="140">
        <v>5962</v>
      </c>
      <c r="F55" s="265">
        <v>34.586378930270335</v>
      </c>
      <c r="G55" s="265">
        <v>31.214357598121435</v>
      </c>
    </row>
    <row r="56" spans="2:7">
      <c r="B56" s="268" t="s">
        <v>18</v>
      </c>
      <c r="C56" s="268">
        <v>15408</v>
      </c>
      <c r="D56" s="267" t="s">
        <v>371</v>
      </c>
      <c r="E56" s="140">
        <v>2063</v>
      </c>
      <c r="F56" s="265">
        <v>7.7641037221030444</v>
      </c>
      <c r="G56" s="265">
        <v>37.663596703829377</v>
      </c>
    </row>
    <row r="57" spans="2:7">
      <c r="B57" s="268" t="s">
        <v>18</v>
      </c>
      <c r="C57" s="268">
        <v>16226</v>
      </c>
      <c r="D57" s="267" t="s">
        <v>372</v>
      </c>
      <c r="E57" s="140">
        <v>17316</v>
      </c>
      <c r="F57" s="265">
        <v>32.818452324545611</v>
      </c>
      <c r="G57" s="265">
        <v>36.267036267036268</v>
      </c>
    </row>
    <row r="58" spans="2:7">
      <c r="B58" s="268" t="s">
        <v>18</v>
      </c>
      <c r="C58" s="268">
        <v>16234</v>
      </c>
      <c r="D58" s="267" t="s">
        <v>373</v>
      </c>
      <c r="E58" s="140">
        <v>903</v>
      </c>
      <c r="F58" s="265">
        <v>4.7443913203383596</v>
      </c>
      <c r="G58" s="265">
        <v>33.333333333333329</v>
      </c>
    </row>
    <row r="59" spans="2:7">
      <c r="B59" s="268" t="s">
        <v>18</v>
      </c>
      <c r="C59" s="268">
        <v>16293</v>
      </c>
      <c r="D59" s="267" t="s">
        <v>374</v>
      </c>
      <c r="E59" s="140">
        <v>25588</v>
      </c>
      <c r="F59" s="265">
        <v>50.866730279898221</v>
      </c>
      <c r="G59" s="265">
        <v>43.027981866499921</v>
      </c>
    </row>
    <row r="60" spans="2:7">
      <c r="B60" s="268" t="s">
        <v>18</v>
      </c>
      <c r="C60" s="268">
        <v>17214</v>
      </c>
      <c r="D60" s="267" t="s">
        <v>375</v>
      </c>
      <c r="E60" s="140">
        <v>271</v>
      </c>
      <c r="F60" s="265">
        <v>1.1364589448964186</v>
      </c>
      <c r="G60" s="265">
        <v>36.900369003690038</v>
      </c>
    </row>
    <row r="61" spans="2:7">
      <c r="B61" s="268" t="s">
        <v>18</v>
      </c>
      <c r="C61" s="268">
        <v>17311</v>
      </c>
      <c r="D61" s="267" t="s">
        <v>376</v>
      </c>
      <c r="E61" s="140">
        <v>1711</v>
      </c>
      <c r="F61" s="265">
        <v>7.2579960973954361</v>
      </c>
      <c r="G61" s="265">
        <v>39.099941554646406</v>
      </c>
    </row>
    <row r="62" spans="2:7">
      <c r="B62" s="268" t="s">
        <v>18</v>
      </c>
      <c r="C62" s="268">
        <v>17320</v>
      </c>
      <c r="D62" s="267" t="s">
        <v>377</v>
      </c>
      <c r="E62" s="140">
        <v>866</v>
      </c>
      <c r="F62" s="265">
        <v>5.7252413063599104</v>
      </c>
      <c r="G62" s="265">
        <v>42.032332563510394</v>
      </c>
    </row>
    <row r="63" spans="2:7">
      <c r="B63" s="268" t="s">
        <v>18</v>
      </c>
      <c r="C63" s="268">
        <v>17427</v>
      </c>
      <c r="D63" s="267" t="s">
        <v>378</v>
      </c>
      <c r="E63" s="140">
        <v>104</v>
      </c>
      <c r="F63" s="265">
        <v>0.33719158317932757</v>
      </c>
      <c r="G63" s="265">
        <v>32.692307692307693</v>
      </c>
    </row>
    <row r="64" spans="2:7">
      <c r="B64" s="268" t="s">
        <v>18</v>
      </c>
      <c r="C64" s="268">
        <v>17494</v>
      </c>
      <c r="D64" s="267" t="s">
        <v>379</v>
      </c>
      <c r="E64" s="140">
        <v>16890</v>
      </c>
      <c r="F64" s="265">
        <v>67.476329351604008</v>
      </c>
      <c r="G64" s="265">
        <v>47.063351095322673</v>
      </c>
    </row>
    <row r="65" spans="2:7">
      <c r="B65" s="268" t="s">
        <v>18</v>
      </c>
      <c r="C65" s="268">
        <v>18130</v>
      </c>
      <c r="D65" s="267" t="s">
        <v>380</v>
      </c>
      <c r="E65" s="140">
        <v>34068</v>
      </c>
      <c r="F65" s="265">
        <v>35.233525007239479</v>
      </c>
      <c r="G65" s="265">
        <v>40.689209815662792</v>
      </c>
    </row>
    <row r="66" spans="2:7">
      <c r="B66" s="268" t="s">
        <v>18</v>
      </c>
      <c r="C66" s="268">
        <v>18211</v>
      </c>
      <c r="D66" s="267" t="s">
        <v>381</v>
      </c>
      <c r="E66" s="140">
        <v>20622</v>
      </c>
      <c r="F66" s="265">
        <v>61.091361535726982</v>
      </c>
      <c r="G66" s="265">
        <v>48.186402870720592</v>
      </c>
    </row>
    <row r="67" spans="2:7">
      <c r="B67" s="268" t="s">
        <v>18</v>
      </c>
      <c r="C67" s="268">
        <v>18229</v>
      </c>
      <c r="D67" s="267" t="s">
        <v>382</v>
      </c>
      <c r="E67" s="140">
        <v>3044</v>
      </c>
      <c r="F67" s="265">
        <v>22.094795673949335</v>
      </c>
      <c r="G67" s="265">
        <v>43.72536136662287</v>
      </c>
    </row>
    <row r="68" spans="2:7">
      <c r="B68" s="268" t="s">
        <v>18</v>
      </c>
      <c r="C68" s="268">
        <v>22196</v>
      </c>
      <c r="D68" s="267" t="s">
        <v>383</v>
      </c>
      <c r="E68" s="140">
        <v>3254</v>
      </c>
      <c r="F68" s="265">
        <v>7.9045814507117518</v>
      </c>
      <c r="G68" s="265">
        <v>41.948371235402583</v>
      </c>
    </row>
    <row r="69" spans="2:7">
      <c r="B69" s="268" t="s">
        <v>18</v>
      </c>
      <c r="C69" s="268">
        <v>22293</v>
      </c>
      <c r="D69" s="267" t="s">
        <v>384</v>
      </c>
      <c r="E69" s="140">
        <v>3623</v>
      </c>
      <c r="F69" s="265">
        <v>2.5160421122808967</v>
      </c>
      <c r="G69" s="265">
        <v>44.907535191829972</v>
      </c>
    </row>
    <row r="70" spans="2:7">
      <c r="B70" s="268" t="s">
        <v>18</v>
      </c>
      <c r="C70" s="268">
        <v>23192</v>
      </c>
      <c r="D70" s="267" t="s">
        <v>385</v>
      </c>
      <c r="E70" s="140">
        <v>1580</v>
      </c>
      <c r="F70" s="265">
        <v>9.4395985183414979</v>
      </c>
      <c r="G70" s="265">
        <v>39.430379746835442</v>
      </c>
    </row>
    <row r="71" spans="2:7">
      <c r="B71" s="268" t="s">
        <v>18</v>
      </c>
      <c r="C71" s="268">
        <v>23303</v>
      </c>
      <c r="D71" s="267" t="s">
        <v>386</v>
      </c>
      <c r="E71" s="140">
        <v>10624</v>
      </c>
      <c r="F71" s="265">
        <v>6.7052504686227854</v>
      </c>
      <c r="G71" s="265">
        <v>33.217243975903614</v>
      </c>
    </row>
    <row r="72" spans="2:7">
      <c r="B72" s="268" t="s">
        <v>18</v>
      </c>
      <c r="C72" s="268">
        <v>23427</v>
      </c>
      <c r="D72" s="267" t="s">
        <v>387</v>
      </c>
      <c r="E72" s="140">
        <v>826</v>
      </c>
      <c r="F72" s="265">
        <v>0.6862403004170613</v>
      </c>
      <c r="G72" s="265">
        <v>25.181598062953999</v>
      </c>
    </row>
    <row r="73" spans="2:7">
      <c r="B73" s="268" t="s">
        <v>18</v>
      </c>
      <c r="C73" s="268">
        <v>23494</v>
      </c>
      <c r="D73" s="267" t="s">
        <v>388</v>
      </c>
      <c r="E73" s="140">
        <v>5491</v>
      </c>
      <c r="F73" s="265">
        <v>21.006120887528692</v>
      </c>
      <c r="G73" s="265">
        <v>41.048989255144782</v>
      </c>
    </row>
    <row r="74" spans="2:7">
      <c r="B74" s="268" t="s">
        <v>18</v>
      </c>
      <c r="C74" s="268">
        <v>23915</v>
      </c>
      <c r="D74" s="267" t="s">
        <v>389</v>
      </c>
      <c r="E74" s="140">
        <v>11434</v>
      </c>
      <c r="F74" s="265">
        <v>15.234973551318436</v>
      </c>
      <c r="G74" s="265">
        <v>27.907993702991078</v>
      </c>
    </row>
    <row r="75" spans="2:7">
      <c r="B75" s="268" t="s">
        <v>18</v>
      </c>
      <c r="C75" s="268">
        <v>23991</v>
      </c>
      <c r="D75" s="267" t="s">
        <v>390</v>
      </c>
      <c r="E75" s="140">
        <v>2997</v>
      </c>
      <c r="F75" s="265">
        <v>9.8197903014416781</v>
      </c>
      <c r="G75" s="265">
        <v>44.477811144477812</v>
      </c>
    </row>
    <row r="76" spans="2:7">
      <c r="B76" s="268" t="s">
        <v>18</v>
      </c>
      <c r="C76" s="268">
        <v>25128</v>
      </c>
      <c r="D76" s="267" t="s">
        <v>391</v>
      </c>
      <c r="E76" s="140">
        <v>15274</v>
      </c>
      <c r="F76" s="265">
        <v>18.810808147983941</v>
      </c>
      <c r="G76" s="265">
        <v>35.747021081576534</v>
      </c>
    </row>
    <row r="77" spans="2:7">
      <c r="B77" s="268"/>
      <c r="C77" s="268"/>
      <c r="D77" s="267"/>
      <c r="E77" s="140"/>
      <c r="F77" s="265"/>
      <c r="G77" s="265"/>
    </row>
    <row r="78" spans="2:7">
      <c r="B78" s="268" t="s">
        <v>18</v>
      </c>
      <c r="C78" s="268">
        <v>25322</v>
      </c>
      <c r="D78" s="267" t="s">
        <v>392</v>
      </c>
      <c r="E78" s="140">
        <v>4473</v>
      </c>
      <c r="F78" s="265">
        <v>13.461133347377292</v>
      </c>
      <c r="G78" s="265">
        <v>36.955063715627098</v>
      </c>
    </row>
    <row r="79" spans="2:7">
      <c r="B79" s="268" t="s">
        <v>18</v>
      </c>
      <c r="C79" s="268">
        <v>25390</v>
      </c>
      <c r="D79" s="267" t="s">
        <v>393</v>
      </c>
      <c r="E79" s="140">
        <v>42148</v>
      </c>
      <c r="F79" s="265">
        <v>34.670878370597045</v>
      </c>
      <c r="G79" s="265">
        <v>39.57957672961944</v>
      </c>
    </row>
    <row r="80" spans="2:7">
      <c r="B80" s="268" t="s">
        <v>18</v>
      </c>
      <c r="C80" s="268">
        <v>25411</v>
      </c>
      <c r="D80" s="267" t="s">
        <v>394</v>
      </c>
      <c r="E80" s="140">
        <v>773</v>
      </c>
      <c r="F80" s="265">
        <v>8.8585835434334168</v>
      </c>
      <c r="G80" s="265">
        <v>42.043984476067273</v>
      </c>
    </row>
    <row r="81" spans="2:7">
      <c r="B81" s="268" t="s">
        <v>18</v>
      </c>
      <c r="C81" s="268">
        <v>25420</v>
      </c>
      <c r="D81" s="267" t="s">
        <v>395</v>
      </c>
      <c r="E81" s="140">
        <v>82722</v>
      </c>
      <c r="F81" s="265">
        <v>64.457864183582032</v>
      </c>
      <c r="G81" s="265">
        <v>36.645632358985516</v>
      </c>
    </row>
    <row r="82" spans="2:7">
      <c r="B82" s="268" t="s">
        <v>18</v>
      </c>
      <c r="C82" s="268">
        <v>25438</v>
      </c>
      <c r="D82" s="267" t="s">
        <v>396</v>
      </c>
      <c r="E82" s="140">
        <v>5669</v>
      </c>
      <c r="F82" s="265">
        <v>15.918791418622934</v>
      </c>
      <c r="G82" s="265">
        <v>46.780737343446816</v>
      </c>
    </row>
    <row r="83" spans="2:7">
      <c r="B83" s="268" t="s">
        <v>18</v>
      </c>
      <c r="C83" s="268">
        <v>25993</v>
      </c>
      <c r="D83" s="267" t="s">
        <v>397</v>
      </c>
      <c r="E83" s="140">
        <v>15382</v>
      </c>
      <c r="F83" s="265">
        <v>17.773412675486743</v>
      </c>
      <c r="G83" s="265">
        <v>36.055129371993239</v>
      </c>
    </row>
    <row r="84" spans="2:7">
      <c r="B84" s="268" t="s">
        <v>18</v>
      </c>
      <c r="C84" s="268">
        <v>27406</v>
      </c>
      <c r="D84" s="267" t="s">
        <v>398</v>
      </c>
      <c r="E84" s="140">
        <v>787</v>
      </c>
      <c r="F84" s="265">
        <v>6.2574540828496463</v>
      </c>
      <c r="G84" s="265">
        <v>43.329097839898353</v>
      </c>
    </row>
    <row r="85" spans="2:7">
      <c r="B85" s="268" t="s">
        <v>18</v>
      </c>
      <c r="C85" s="268">
        <v>29506</v>
      </c>
      <c r="D85" s="267" t="s">
        <v>399</v>
      </c>
      <c r="E85" s="140">
        <v>2805</v>
      </c>
      <c r="F85" s="265">
        <v>17.455971124525487</v>
      </c>
      <c r="G85" s="265">
        <v>33.796791443850267</v>
      </c>
    </row>
    <row r="86" spans="2:7">
      <c r="B86" s="268" t="s">
        <v>18</v>
      </c>
      <c r="C86" s="268">
        <v>31012</v>
      </c>
      <c r="D86" s="267" t="s">
        <v>400</v>
      </c>
      <c r="E86" s="140">
        <v>94007</v>
      </c>
      <c r="F86" s="265">
        <v>30.342065172485022</v>
      </c>
      <c r="G86" s="265">
        <v>36.604720925037498</v>
      </c>
    </row>
    <row r="87" spans="2:7">
      <c r="B87" s="268" t="s">
        <v>18</v>
      </c>
      <c r="C87" s="268">
        <v>31021</v>
      </c>
      <c r="D87" s="267" t="s">
        <v>401</v>
      </c>
      <c r="E87" s="140">
        <v>1028</v>
      </c>
      <c r="F87" s="265">
        <v>3.0489070795147848</v>
      </c>
      <c r="G87" s="265">
        <v>35.505836575875485</v>
      </c>
    </row>
    <row r="88" spans="2:7">
      <c r="B88" s="268" t="s">
        <v>18</v>
      </c>
      <c r="C88" s="268">
        <v>31039</v>
      </c>
      <c r="D88" s="267" t="s">
        <v>402</v>
      </c>
      <c r="E88" s="140">
        <v>3952</v>
      </c>
      <c r="F88" s="265">
        <v>30.774022737891293</v>
      </c>
      <c r="G88" s="265">
        <v>34.058704453441294</v>
      </c>
    </row>
    <row r="89" spans="2:7">
      <c r="B89" s="268" t="s">
        <v>18</v>
      </c>
      <c r="C89" s="268">
        <v>31047</v>
      </c>
      <c r="D89" s="267" t="s">
        <v>403</v>
      </c>
      <c r="E89" s="140">
        <v>615</v>
      </c>
      <c r="F89" s="265">
        <v>2.0857356033371772</v>
      </c>
      <c r="G89" s="265">
        <v>31.056910569105689</v>
      </c>
    </row>
    <row r="90" spans="2:7">
      <c r="B90" s="268" t="s">
        <v>18</v>
      </c>
      <c r="C90" s="268">
        <v>32116</v>
      </c>
      <c r="D90" s="267" t="s">
        <v>404</v>
      </c>
      <c r="E90" s="140">
        <v>3086</v>
      </c>
      <c r="F90" s="265">
        <v>20.3494889548302</v>
      </c>
      <c r="G90" s="265">
        <v>37.751134154244973</v>
      </c>
    </row>
    <row r="91" spans="2:7">
      <c r="B91" s="268" t="s">
        <v>18</v>
      </c>
      <c r="C91" s="268">
        <v>32124</v>
      </c>
      <c r="D91" s="267" t="s">
        <v>405</v>
      </c>
      <c r="E91" s="140">
        <v>25691</v>
      </c>
      <c r="F91" s="265">
        <v>74.626735606808808</v>
      </c>
      <c r="G91" s="265">
        <v>44.821143591140867</v>
      </c>
    </row>
    <row r="92" spans="2:7">
      <c r="B92" s="268" t="s">
        <v>18</v>
      </c>
      <c r="C92" s="268">
        <v>32205</v>
      </c>
      <c r="D92" s="267" t="s">
        <v>406</v>
      </c>
      <c r="E92" s="140">
        <v>910</v>
      </c>
      <c r="F92" s="265">
        <v>39.479392624728845</v>
      </c>
      <c r="G92" s="265">
        <v>45.604395604395606</v>
      </c>
    </row>
    <row r="93" spans="2:7">
      <c r="B93" s="268" t="s">
        <v>18</v>
      </c>
      <c r="C93" s="268">
        <v>32302</v>
      </c>
      <c r="D93" s="267" t="s">
        <v>407</v>
      </c>
      <c r="E93" s="140">
        <v>939</v>
      </c>
      <c r="F93" s="265">
        <v>13.143896976483763</v>
      </c>
      <c r="G93" s="265">
        <v>42.598509052183175</v>
      </c>
    </row>
    <row r="94" spans="2:7">
      <c r="B94" s="268" t="s">
        <v>18</v>
      </c>
      <c r="C94" s="268">
        <v>32400</v>
      </c>
      <c r="D94" s="267" t="s">
        <v>408</v>
      </c>
      <c r="E94" s="140">
        <v>1972</v>
      </c>
      <c r="F94" s="265">
        <v>11.04328834630677</v>
      </c>
      <c r="G94" s="265">
        <v>46.754563894523329</v>
      </c>
    </row>
    <row r="95" spans="2:7">
      <c r="B95" s="268" t="s">
        <v>18</v>
      </c>
      <c r="C95" s="268">
        <v>32914</v>
      </c>
      <c r="D95" s="267" t="s">
        <v>409</v>
      </c>
      <c r="E95" s="140">
        <v>1662</v>
      </c>
      <c r="F95" s="265">
        <v>14.982421346795277</v>
      </c>
      <c r="G95" s="265">
        <v>37.66546329723225</v>
      </c>
    </row>
    <row r="96" spans="2:7">
      <c r="B96" s="268" t="s">
        <v>18</v>
      </c>
      <c r="C96" s="268">
        <v>32922</v>
      </c>
      <c r="D96" s="267" t="s">
        <v>410</v>
      </c>
      <c r="E96" s="140">
        <v>986</v>
      </c>
      <c r="F96" s="265">
        <v>5.8353553885305081</v>
      </c>
      <c r="G96" s="265">
        <v>39.249492900608516</v>
      </c>
    </row>
    <row r="97" spans="2:7">
      <c r="B97" s="268" t="s">
        <v>18</v>
      </c>
      <c r="C97" s="268">
        <v>32990</v>
      </c>
      <c r="D97" s="267" t="s">
        <v>411</v>
      </c>
      <c r="E97" s="140">
        <v>103486</v>
      </c>
      <c r="F97" s="265">
        <v>68.231477757485052</v>
      </c>
      <c r="G97" s="265">
        <v>44.638888352047616</v>
      </c>
    </row>
    <row r="98" spans="2:7">
      <c r="B98" s="268" t="s">
        <v>18</v>
      </c>
      <c r="C98" s="268">
        <v>33112</v>
      </c>
      <c r="D98" s="267" t="s">
        <v>412</v>
      </c>
      <c r="E98" s="140">
        <v>2589</v>
      </c>
      <c r="F98" s="265">
        <v>19.413617276544691</v>
      </c>
      <c r="G98" s="265">
        <v>47.161066048667436</v>
      </c>
    </row>
    <row r="99" spans="2:7">
      <c r="B99" s="268" t="s">
        <v>18</v>
      </c>
      <c r="C99" s="268">
        <v>33139</v>
      </c>
      <c r="D99" s="267" t="s">
        <v>413</v>
      </c>
      <c r="E99" s="140">
        <v>11635</v>
      </c>
      <c r="F99" s="265">
        <v>27.925787250384026</v>
      </c>
      <c r="G99" s="265">
        <v>42.269015900300815</v>
      </c>
    </row>
    <row r="100" spans="2:7">
      <c r="B100" s="268" t="s">
        <v>18</v>
      </c>
      <c r="C100" s="268">
        <v>33147</v>
      </c>
      <c r="D100" s="267" t="s">
        <v>414</v>
      </c>
      <c r="E100" s="140">
        <v>52114</v>
      </c>
      <c r="F100" s="265">
        <v>26.229458690892621</v>
      </c>
      <c r="G100" s="265">
        <v>42.320681582684117</v>
      </c>
    </row>
    <row r="101" spans="2:7">
      <c r="B101" s="268"/>
      <c r="C101" s="268"/>
      <c r="D101" s="267"/>
      <c r="E101" s="140"/>
      <c r="F101" s="265"/>
      <c r="G101" s="265"/>
    </row>
    <row r="102" spans="2:7" ht="48">
      <c r="B102" s="189" t="s">
        <v>525</v>
      </c>
      <c r="C102" s="482" t="s">
        <v>275</v>
      </c>
      <c r="D102" s="491"/>
      <c r="E102" s="264" t="s">
        <v>115</v>
      </c>
      <c r="F102" s="149" t="s">
        <v>316</v>
      </c>
      <c r="G102" s="149" t="s">
        <v>317</v>
      </c>
    </row>
    <row r="103" spans="2:7">
      <c r="B103" s="268" t="s">
        <v>18</v>
      </c>
      <c r="C103" s="268">
        <v>33171</v>
      </c>
      <c r="D103" s="267" t="s">
        <v>415</v>
      </c>
      <c r="E103" s="140">
        <v>2695</v>
      </c>
      <c r="F103" s="265">
        <v>20.956454121306376</v>
      </c>
      <c r="G103" s="265">
        <v>40.927643784786646</v>
      </c>
    </row>
    <row r="104" spans="2:7">
      <c r="B104" s="268" t="s">
        <v>18</v>
      </c>
      <c r="C104" s="268">
        <v>33198</v>
      </c>
      <c r="D104" s="267" t="s">
        <v>416</v>
      </c>
      <c r="E104" s="140">
        <v>5083</v>
      </c>
      <c r="F104" s="265">
        <v>31.098195166717652</v>
      </c>
      <c r="G104" s="265">
        <v>44.186504033051349</v>
      </c>
    </row>
    <row r="105" spans="2:7">
      <c r="B105" s="268" t="s">
        <v>18</v>
      </c>
      <c r="C105" s="268">
        <v>33210</v>
      </c>
      <c r="D105" s="267" t="s">
        <v>417</v>
      </c>
      <c r="E105" s="140">
        <v>29511</v>
      </c>
      <c r="F105" s="265">
        <v>40.042605734134789</v>
      </c>
      <c r="G105" s="265">
        <v>50.357493815865276</v>
      </c>
    </row>
    <row r="106" spans="2:7">
      <c r="B106" s="268" t="s">
        <v>18</v>
      </c>
      <c r="C106" s="268">
        <v>33295</v>
      </c>
      <c r="D106" s="267" t="s">
        <v>418</v>
      </c>
      <c r="E106" s="140">
        <v>42344</v>
      </c>
      <c r="F106" s="265">
        <v>68.54219948849105</v>
      </c>
      <c r="G106" s="265">
        <v>39.188550916304557</v>
      </c>
    </row>
    <row r="107" spans="2:7">
      <c r="B107" s="268" t="s">
        <v>20</v>
      </c>
      <c r="C107" s="268">
        <v>36006</v>
      </c>
      <c r="D107" s="267" t="s">
        <v>419</v>
      </c>
      <c r="E107" s="140">
        <v>2294</v>
      </c>
      <c r="F107" s="265">
        <v>1.4930327308701115</v>
      </c>
      <c r="G107" s="265">
        <v>39.276373147340884</v>
      </c>
    </row>
    <row r="108" spans="2:7">
      <c r="B108" s="268" t="s">
        <v>20</v>
      </c>
      <c r="C108" s="268">
        <v>37029</v>
      </c>
      <c r="D108" s="267" t="s">
        <v>420</v>
      </c>
      <c r="E108" s="140">
        <v>1718</v>
      </c>
      <c r="F108" s="265">
        <v>14.544530985438536</v>
      </c>
      <c r="G108" s="265">
        <v>39.057043073341099</v>
      </c>
    </row>
    <row r="109" spans="2:7">
      <c r="B109" s="268" t="s">
        <v>20</v>
      </c>
      <c r="C109" s="268">
        <v>38114</v>
      </c>
      <c r="D109" s="267" t="s">
        <v>421</v>
      </c>
      <c r="E109" s="140">
        <v>14055</v>
      </c>
      <c r="F109" s="265">
        <v>6.4712626213793394</v>
      </c>
      <c r="G109" s="265">
        <v>34.172892209178229</v>
      </c>
    </row>
    <row r="110" spans="2:7">
      <c r="B110" s="268" t="s">
        <v>20</v>
      </c>
      <c r="C110" s="268">
        <v>38319</v>
      </c>
      <c r="D110" s="267" t="s">
        <v>422</v>
      </c>
      <c r="E110" s="140">
        <v>11484</v>
      </c>
      <c r="F110" s="265">
        <v>51.954397394136805</v>
      </c>
      <c r="G110" s="265">
        <v>32.131661442006269</v>
      </c>
    </row>
    <row r="111" spans="2:7">
      <c r="B111" s="268" t="s">
        <v>20</v>
      </c>
      <c r="C111" s="268">
        <v>38327</v>
      </c>
      <c r="D111" s="267" t="s">
        <v>423</v>
      </c>
      <c r="E111" s="140">
        <v>6212</v>
      </c>
      <c r="F111" s="265">
        <v>34.133743612286388</v>
      </c>
      <c r="G111" s="265">
        <v>30.408886027044428</v>
      </c>
    </row>
    <row r="112" spans="2:7">
      <c r="B112" s="268" t="s">
        <v>20</v>
      </c>
      <c r="C112" s="268">
        <v>38394</v>
      </c>
      <c r="D112" s="267" t="s">
        <v>424</v>
      </c>
      <c r="E112" s="140">
        <v>5003</v>
      </c>
      <c r="F112" s="265">
        <v>25.404966231655919</v>
      </c>
      <c r="G112" s="265">
        <v>30.901459124525282</v>
      </c>
    </row>
    <row r="113" spans="2:7">
      <c r="B113" s="268" t="s">
        <v>22</v>
      </c>
      <c r="C113" s="268">
        <v>43215</v>
      </c>
      <c r="D113" s="267" t="s">
        <v>425</v>
      </c>
      <c r="E113" s="140">
        <v>236947</v>
      </c>
      <c r="F113" s="265">
        <v>54.087362639871074</v>
      </c>
      <c r="G113" s="265">
        <v>44.476612913436334</v>
      </c>
    </row>
    <row r="114" spans="2:7">
      <c r="B114" s="268" t="s">
        <v>22</v>
      </c>
      <c r="C114" s="268">
        <v>43223</v>
      </c>
      <c r="D114" s="267" t="s">
        <v>426</v>
      </c>
      <c r="E114" s="140">
        <v>94898</v>
      </c>
      <c r="F114" s="265">
        <v>52.13402407335176</v>
      </c>
      <c r="G114" s="265">
        <v>41.899723914097244</v>
      </c>
    </row>
    <row r="115" spans="2:7">
      <c r="B115" s="268" t="s">
        <v>22</v>
      </c>
      <c r="C115" s="268">
        <v>43291</v>
      </c>
      <c r="D115" s="267" t="s">
        <v>427</v>
      </c>
      <c r="E115" s="140">
        <v>13094</v>
      </c>
      <c r="F115" s="265">
        <v>18.628008877254878</v>
      </c>
      <c r="G115" s="265">
        <v>41.385367343821599</v>
      </c>
    </row>
    <row r="116" spans="2:7">
      <c r="B116" s="268" t="s">
        <v>22</v>
      </c>
      <c r="C116" s="268">
        <v>43304</v>
      </c>
      <c r="D116" s="267" t="s">
        <v>55</v>
      </c>
      <c r="E116" s="140">
        <v>286590</v>
      </c>
      <c r="F116" s="265">
        <v>67.241342902928352</v>
      </c>
      <c r="G116" s="265">
        <v>38.626260511532159</v>
      </c>
    </row>
    <row r="117" spans="2:7">
      <c r="B117" s="268" t="s">
        <v>22</v>
      </c>
      <c r="C117" s="268">
        <v>43991</v>
      </c>
      <c r="D117" s="267" t="s">
        <v>47</v>
      </c>
      <c r="E117" s="140">
        <v>605470</v>
      </c>
      <c r="F117" s="265">
        <v>73.719942871823221</v>
      </c>
      <c r="G117" s="265">
        <v>36.376533932317045</v>
      </c>
    </row>
    <row r="118" spans="2:7">
      <c r="B118" s="268" t="s">
        <v>24</v>
      </c>
      <c r="C118" s="268">
        <v>45200</v>
      </c>
      <c r="D118" s="267" t="s">
        <v>50</v>
      </c>
      <c r="E118" s="140">
        <v>415121</v>
      </c>
      <c r="F118" s="265">
        <v>56.731522189225792</v>
      </c>
      <c r="G118" s="265">
        <v>31.168261783913604</v>
      </c>
    </row>
    <row r="119" spans="2:7">
      <c r="B119" s="268" t="s">
        <v>24</v>
      </c>
      <c r="C119" s="268">
        <v>45307</v>
      </c>
      <c r="D119" s="267" t="s">
        <v>428</v>
      </c>
      <c r="E119" s="140">
        <v>88298</v>
      </c>
      <c r="F119" s="265">
        <v>13.174440707705806</v>
      </c>
      <c r="G119" s="265">
        <v>31.817255203968379</v>
      </c>
    </row>
    <row r="120" spans="2:7">
      <c r="B120" s="268" t="s">
        <v>24</v>
      </c>
      <c r="C120" s="268">
        <v>45412</v>
      </c>
      <c r="D120" s="267" t="s">
        <v>429</v>
      </c>
      <c r="E120" s="140">
        <v>45573</v>
      </c>
      <c r="F120" s="265">
        <v>33.172709472197759</v>
      </c>
      <c r="G120" s="265">
        <v>29.337546354200949</v>
      </c>
    </row>
    <row r="121" spans="2:7">
      <c r="B121" s="268" t="s">
        <v>24</v>
      </c>
      <c r="C121" s="268">
        <v>45439</v>
      </c>
      <c r="D121" s="267" t="s">
        <v>430</v>
      </c>
      <c r="E121" s="140">
        <v>38705</v>
      </c>
      <c r="F121" s="265">
        <v>75.831194529887739</v>
      </c>
      <c r="G121" s="265">
        <v>30.523188218576415</v>
      </c>
    </row>
    <row r="122" spans="2:7">
      <c r="B122" s="268" t="s">
        <v>24</v>
      </c>
      <c r="C122" s="268">
        <v>47121</v>
      </c>
      <c r="D122" s="267" t="s">
        <v>54</v>
      </c>
      <c r="E122" s="140">
        <v>292157</v>
      </c>
      <c r="F122" s="265">
        <v>35.868521660556745</v>
      </c>
      <c r="G122" s="265">
        <v>34.079621573332147</v>
      </c>
    </row>
    <row r="123" spans="2:7">
      <c r="B123" s="268" t="s">
        <v>24</v>
      </c>
      <c r="C123" s="268">
        <v>47130</v>
      </c>
      <c r="D123" s="267" t="s">
        <v>431</v>
      </c>
      <c r="E123" s="140">
        <v>45471</v>
      </c>
      <c r="F123" s="265">
        <v>17.271097471114182</v>
      </c>
      <c r="G123" s="265">
        <v>34.54729387961558</v>
      </c>
    </row>
    <row r="124" spans="2:7">
      <c r="B124" s="268" t="s">
        <v>24</v>
      </c>
      <c r="C124" s="268">
        <v>47211</v>
      </c>
      <c r="D124" s="267" t="s">
        <v>432</v>
      </c>
      <c r="E124" s="140">
        <v>103757</v>
      </c>
      <c r="F124" s="265">
        <v>23.382175308285859</v>
      </c>
      <c r="G124" s="265">
        <v>31.401254855094113</v>
      </c>
    </row>
    <row r="125" spans="2:7">
      <c r="B125" s="268" t="s">
        <v>24</v>
      </c>
      <c r="C125" s="268">
        <v>47229</v>
      </c>
      <c r="D125" s="267" t="s">
        <v>433</v>
      </c>
      <c r="E125" s="140">
        <v>53338</v>
      </c>
      <c r="F125" s="265">
        <v>32.544602543138161</v>
      </c>
      <c r="G125" s="265">
        <v>25.561513367580336</v>
      </c>
    </row>
    <row r="126" spans="2:7">
      <c r="B126" s="268"/>
      <c r="C126" s="268"/>
      <c r="D126" s="267"/>
      <c r="E126" s="140"/>
      <c r="F126" s="265"/>
      <c r="G126" s="265"/>
    </row>
    <row r="127" spans="2:7">
      <c r="B127" s="268" t="s">
        <v>24</v>
      </c>
      <c r="C127" s="268">
        <v>47237</v>
      </c>
      <c r="D127" s="267" t="s">
        <v>57</v>
      </c>
      <c r="E127" s="140">
        <v>252817</v>
      </c>
      <c r="F127" s="265">
        <v>73.458720021385275</v>
      </c>
      <c r="G127" s="265">
        <v>31.315140991309921</v>
      </c>
    </row>
    <row r="128" spans="2:7">
      <c r="B128" s="268" t="s">
        <v>24</v>
      </c>
      <c r="C128" s="268">
        <v>47245</v>
      </c>
      <c r="D128" s="267" t="s">
        <v>434</v>
      </c>
      <c r="E128" s="140">
        <v>110945</v>
      </c>
      <c r="F128" s="265">
        <v>55.556390149125178</v>
      </c>
      <c r="G128" s="265">
        <v>29.931046915138133</v>
      </c>
    </row>
    <row r="129" spans="2:7">
      <c r="B129" s="268" t="s">
        <v>24</v>
      </c>
      <c r="C129" s="268">
        <v>47296</v>
      </c>
      <c r="D129" s="267" t="s">
        <v>435</v>
      </c>
      <c r="E129" s="140">
        <v>141418</v>
      </c>
      <c r="F129" s="265">
        <v>41.332043454498155</v>
      </c>
      <c r="G129" s="265">
        <v>31.674185747217471</v>
      </c>
    </row>
    <row r="130" spans="2:7">
      <c r="B130" s="268" t="s">
        <v>24</v>
      </c>
      <c r="C130" s="268">
        <v>47326</v>
      </c>
      <c r="D130" s="267" t="s">
        <v>436</v>
      </c>
      <c r="E130" s="140">
        <v>3676</v>
      </c>
      <c r="F130" s="265">
        <v>20.678404680204761</v>
      </c>
      <c r="G130" s="265">
        <v>28.563656147986944</v>
      </c>
    </row>
    <row r="131" spans="2:7">
      <c r="B131" s="268" t="s">
        <v>24</v>
      </c>
      <c r="C131" s="268">
        <v>47415</v>
      </c>
      <c r="D131" s="267" t="s">
        <v>437</v>
      </c>
      <c r="E131" s="140">
        <v>4042</v>
      </c>
      <c r="F131" s="265">
        <v>7.0394817046622205</v>
      </c>
      <c r="G131" s="265">
        <v>31.989114299851558</v>
      </c>
    </row>
    <row r="132" spans="2:7">
      <c r="B132" s="268" t="s">
        <v>24</v>
      </c>
      <c r="C132" s="268">
        <v>47423</v>
      </c>
      <c r="D132" s="267" t="s">
        <v>438</v>
      </c>
      <c r="E132" s="140">
        <v>14601</v>
      </c>
      <c r="F132" s="265">
        <v>15.36720904287789</v>
      </c>
      <c r="G132" s="265">
        <v>38.538456270118488</v>
      </c>
    </row>
    <row r="133" spans="2:7">
      <c r="B133" s="268" t="s">
        <v>24</v>
      </c>
      <c r="C133" s="268">
        <v>47431</v>
      </c>
      <c r="D133" s="267" t="s">
        <v>439</v>
      </c>
      <c r="E133" s="140">
        <v>15051</v>
      </c>
      <c r="F133" s="265">
        <v>22.934857142857144</v>
      </c>
      <c r="G133" s="265">
        <v>34.735233539299713</v>
      </c>
    </row>
    <row r="134" spans="2:7">
      <c r="B134" s="268" t="s">
        <v>24</v>
      </c>
      <c r="C134" s="268">
        <v>47440</v>
      </c>
      <c r="D134" s="267" t="s">
        <v>440</v>
      </c>
      <c r="E134" s="140">
        <v>116881</v>
      </c>
      <c r="F134" s="265">
        <v>12.624714979623272</v>
      </c>
      <c r="G134" s="265">
        <v>31.891410922220036</v>
      </c>
    </row>
    <row r="135" spans="2:7">
      <c r="B135" s="268" t="s">
        <v>24</v>
      </c>
      <c r="C135" s="268">
        <v>47512</v>
      </c>
      <c r="D135" s="267" t="s">
        <v>441</v>
      </c>
      <c r="E135" s="140">
        <v>64978</v>
      </c>
      <c r="F135" s="265">
        <v>36.537131482616495</v>
      </c>
      <c r="G135" s="265">
        <v>36.229185262704299</v>
      </c>
    </row>
    <row r="136" spans="2:7">
      <c r="B136" s="268" t="s">
        <v>24</v>
      </c>
      <c r="C136" s="268">
        <v>47521</v>
      </c>
      <c r="D136" s="267" t="s">
        <v>442</v>
      </c>
      <c r="E136" s="140">
        <v>53442</v>
      </c>
      <c r="F136" s="265">
        <v>37.372289316708503</v>
      </c>
      <c r="G136" s="265">
        <v>28.007933834811571</v>
      </c>
    </row>
    <row r="137" spans="2:7">
      <c r="B137" s="268" t="s">
        <v>24</v>
      </c>
      <c r="C137" s="268">
        <v>47539</v>
      </c>
      <c r="D137" s="267" t="s">
        <v>443</v>
      </c>
      <c r="E137" s="140">
        <v>29082</v>
      </c>
      <c r="F137" s="265">
        <v>13.499324616005904</v>
      </c>
      <c r="G137" s="265">
        <v>32.862251564541637</v>
      </c>
    </row>
    <row r="138" spans="2:7">
      <c r="B138" s="268" t="s">
        <v>24</v>
      </c>
      <c r="C138" s="268">
        <v>47547</v>
      </c>
      <c r="D138" s="267" t="s">
        <v>444</v>
      </c>
      <c r="E138" s="140">
        <v>49019</v>
      </c>
      <c r="F138" s="265">
        <v>15.041439981834529</v>
      </c>
      <c r="G138" s="265">
        <v>35.347518309227034</v>
      </c>
    </row>
    <row r="139" spans="2:7">
      <c r="B139" s="268" t="s">
        <v>24</v>
      </c>
      <c r="C139" s="268">
        <v>47555</v>
      </c>
      <c r="D139" s="267" t="s">
        <v>445</v>
      </c>
      <c r="E139" s="140">
        <v>165988</v>
      </c>
      <c r="F139" s="265">
        <v>52.538156220524279</v>
      </c>
      <c r="G139" s="265">
        <v>36.830975733185532</v>
      </c>
    </row>
    <row r="140" spans="2:7">
      <c r="B140" s="268" t="s">
        <v>24</v>
      </c>
      <c r="C140" s="268">
        <v>47563</v>
      </c>
      <c r="D140" s="267" t="s">
        <v>446</v>
      </c>
      <c r="E140" s="140">
        <v>3863</v>
      </c>
      <c r="F140" s="265">
        <v>34.426521700383212</v>
      </c>
      <c r="G140" s="265">
        <v>38.829924928811806</v>
      </c>
    </row>
    <row r="141" spans="2:7">
      <c r="B141" s="268" t="s">
        <v>24</v>
      </c>
      <c r="C141" s="268">
        <v>47571</v>
      </c>
      <c r="D141" s="267" t="s">
        <v>447</v>
      </c>
      <c r="E141" s="140">
        <v>21735</v>
      </c>
      <c r="F141" s="265">
        <v>35.121596509655006</v>
      </c>
      <c r="G141" s="265">
        <v>31.916264090177133</v>
      </c>
    </row>
    <row r="142" spans="2:7">
      <c r="B142" s="268" t="s">
        <v>24</v>
      </c>
      <c r="C142" s="268">
        <v>47598</v>
      </c>
      <c r="D142" s="267" t="s">
        <v>448</v>
      </c>
      <c r="E142" s="140">
        <v>39037</v>
      </c>
      <c r="F142" s="265">
        <v>27.517393541656389</v>
      </c>
      <c r="G142" s="265">
        <v>38.184286702359302</v>
      </c>
    </row>
    <row r="143" spans="2:7">
      <c r="B143" s="268" t="s">
        <v>24</v>
      </c>
      <c r="C143" s="268">
        <v>47610</v>
      </c>
      <c r="D143" s="267" t="s">
        <v>449</v>
      </c>
      <c r="E143" s="140">
        <v>32363</v>
      </c>
      <c r="F143" s="265">
        <v>19.774290916645281</v>
      </c>
      <c r="G143" s="265">
        <v>33.884374130952011</v>
      </c>
    </row>
    <row r="144" spans="2:7">
      <c r="B144" s="268" t="s">
        <v>24</v>
      </c>
      <c r="C144" s="268">
        <v>47628</v>
      </c>
      <c r="D144" s="267" t="s">
        <v>450</v>
      </c>
      <c r="E144" s="140">
        <v>3924</v>
      </c>
      <c r="F144" s="265">
        <v>56.820156385751517</v>
      </c>
      <c r="G144" s="265">
        <v>33.664627930682975</v>
      </c>
    </row>
    <row r="145" spans="2:7">
      <c r="B145" s="268" t="s">
        <v>24</v>
      </c>
      <c r="C145" s="268">
        <v>47636</v>
      </c>
      <c r="D145" s="267" t="s">
        <v>451</v>
      </c>
      <c r="E145" s="140">
        <v>67244</v>
      </c>
      <c r="F145" s="265">
        <v>36.362063278339257</v>
      </c>
      <c r="G145" s="265">
        <v>35.209089286776511</v>
      </c>
    </row>
    <row r="146" spans="2:7">
      <c r="B146" s="268" t="s">
        <v>24</v>
      </c>
      <c r="C146" s="268">
        <v>47725</v>
      </c>
      <c r="D146" s="267" t="s">
        <v>452</v>
      </c>
      <c r="E146" s="140">
        <v>189544</v>
      </c>
      <c r="F146" s="265">
        <v>55.444756787115232</v>
      </c>
      <c r="G146" s="265">
        <v>40.877579875912716</v>
      </c>
    </row>
    <row r="147" spans="2:7">
      <c r="B147" s="268" t="s">
        <v>24</v>
      </c>
      <c r="C147" s="268">
        <v>47733</v>
      </c>
      <c r="D147" s="267" t="s">
        <v>453</v>
      </c>
      <c r="E147" s="140">
        <v>10298</v>
      </c>
      <c r="F147" s="265">
        <v>25.830239791311328</v>
      </c>
      <c r="G147" s="265">
        <v>38.075354437754903</v>
      </c>
    </row>
    <row r="148" spans="2:7">
      <c r="B148" s="268" t="s">
        <v>24</v>
      </c>
      <c r="C148" s="268">
        <v>47741</v>
      </c>
      <c r="D148" s="267" t="s">
        <v>454</v>
      </c>
      <c r="E148" s="140">
        <v>22088</v>
      </c>
      <c r="F148" s="265">
        <v>16.088102903258701</v>
      </c>
      <c r="G148" s="265">
        <v>25.950742484607026</v>
      </c>
    </row>
    <row r="149" spans="2:7">
      <c r="B149" s="268" t="s">
        <v>24</v>
      </c>
      <c r="C149" s="268">
        <v>47814</v>
      </c>
      <c r="D149" s="267" t="s">
        <v>45</v>
      </c>
      <c r="E149" s="140">
        <v>939647</v>
      </c>
      <c r="F149" s="265">
        <v>54.61216030389717</v>
      </c>
      <c r="G149" s="265">
        <v>37.19396752184597</v>
      </c>
    </row>
    <row r="150" spans="2:7">
      <c r="B150" s="268"/>
      <c r="C150" s="268"/>
      <c r="D150" s="267"/>
      <c r="E150" s="140"/>
      <c r="F150" s="265"/>
      <c r="G150" s="265"/>
    </row>
    <row r="151" spans="2:7" ht="48">
      <c r="B151" s="189" t="s">
        <v>525</v>
      </c>
      <c r="C151" s="482" t="s">
        <v>275</v>
      </c>
      <c r="D151" s="491"/>
      <c r="E151" s="264" t="s">
        <v>115</v>
      </c>
      <c r="F151" s="149" t="s">
        <v>316</v>
      </c>
      <c r="G151" s="149" t="s">
        <v>317</v>
      </c>
    </row>
    <row r="152" spans="2:7">
      <c r="B152" s="268" t="s">
        <v>24</v>
      </c>
      <c r="C152" s="268">
        <v>47822</v>
      </c>
      <c r="D152" s="267" t="s">
        <v>455</v>
      </c>
      <c r="E152" s="140">
        <v>56594</v>
      </c>
      <c r="F152" s="265">
        <v>21.858560889884515</v>
      </c>
      <c r="G152" s="265">
        <v>32.996430717037143</v>
      </c>
    </row>
    <row r="153" spans="2:7">
      <c r="B153" s="268" t="s">
        <v>24</v>
      </c>
      <c r="C153" s="268">
        <v>47831</v>
      </c>
      <c r="D153" s="267" t="s">
        <v>456</v>
      </c>
      <c r="E153" s="140">
        <v>37329</v>
      </c>
      <c r="F153" s="265">
        <v>41.665085441943013</v>
      </c>
      <c r="G153" s="265">
        <v>40.416298320340758</v>
      </c>
    </row>
    <row r="154" spans="2:7">
      <c r="B154" s="268" t="s">
        <v>24</v>
      </c>
      <c r="C154" s="268">
        <v>47857</v>
      </c>
      <c r="D154" s="267" t="s">
        <v>457</v>
      </c>
      <c r="E154" s="140">
        <v>20187</v>
      </c>
      <c r="F154" s="265">
        <v>67.823545222416342</v>
      </c>
      <c r="G154" s="265">
        <v>35.943924307722789</v>
      </c>
    </row>
    <row r="155" spans="2:7">
      <c r="B155" s="268" t="s">
        <v>24</v>
      </c>
      <c r="C155" s="268">
        <v>47890</v>
      </c>
      <c r="D155" s="267" t="s">
        <v>53</v>
      </c>
      <c r="E155" s="140">
        <v>312646</v>
      </c>
      <c r="F155" s="265">
        <v>38.384126091595164</v>
      </c>
      <c r="G155" s="265">
        <v>34.145967004215635</v>
      </c>
    </row>
    <row r="156" spans="2:7">
      <c r="B156" s="268" t="s">
        <v>28</v>
      </c>
      <c r="C156" s="268">
        <v>49230</v>
      </c>
      <c r="D156" s="267" t="s">
        <v>458</v>
      </c>
      <c r="E156" s="140">
        <v>92021</v>
      </c>
      <c r="F156" s="265">
        <v>79.720867373017185</v>
      </c>
      <c r="G156" s="265">
        <v>42.029536736179786</v>
      </c>
    </row>
    <row r="157" spans="2:7">
      <c r="B157" s="268" t="s">
        <v>28</v>
      </c>
      <c r="C157" s="268">
        <v>49248</v>
      </c>
      <c r="D157" s="267" t="s">
        <v>459</v>
      </c>
      <c r="E157" s="140">
        <v>49834</v>
      </c>
      <c r="F157" s="265">
        <v>62.74820886689583</v>
      </c>
      <c r="G157" s="265">
        <v>47.178633061765055</v>
      </c>
    </row>
    <row r="158" spans="2:7">
      <c r="B158" s="268" t="s">
        <v>28</v>
      </c>
      <c r="C158" s="268">
        <v>49299</v>
      </c>
      <c r="D158" s="267" t="s">
        <v>460</v>
      </c>
      <c r="E158" s="140">
        <v>105694</v>
      </c>
      <c r="F158" s="265">
        <v>50.989208199259963</v>
      </c>
      <c r="G158" s="265">
        <v>45.384790054307715</v>
      </c>
    </row>
    <row r="159" spans="2:7">
      <c r="B159" s="268" t="s">
        <v>28</v>
      </c>
      <c r="C159" s="268">
        <v>49302</v>
      </c>
      <c r="D159" s="267" t="s">
        <v>52</v>
      </c>
      <c r="E159" s="140">
        <v>336165</v>
      </c>
      <c r="F159" s="265">
        <v>21.514477384406845</v>
      </c>
      <c r="G159" s="265">
        <v>48.282242351226337</v>
      </c>
    </row>
    <row r="160" spans="2:7">
      <c r="B160" s="268" t="s">
        <v>28</v>
      </c>
      <c r="C160" s="268">
        <v>50114</v>
      </c>
      <c r="D160" s="267" t="s">
        <v>461</v>
      </c>
      <c r="E160" s="140">
        <v>613</v>
      </c>
      <c r="F160" s="265">
        <v>16.971207087486157</v>
      </c>
      <c r="G160" s="265">
        <v>40.130505709624799</v>
      </c>
    </row>
    <row r="161" spans="2:7">
      <c r="B161" s="268" t="s">
        <v>28</v>
      </c>
      <c r="C161" s="268">
        <v>50211</v>
      </c>
      <c r="D161" s="267" t="s">
        <v>462</v>
      </c>
      <c r="E161" s="140">
        <v>818</v>
      </c>
      <c r="F161" s="265">
        <v>7.6085945493442466</v>
      </c>
      <c r="G161" s="265">
        <v>43.154034229828852</v>
      </c>
    </row>
    <row r="162" spans="2:7">
      <c r="B162" s="268" t="s">
        <v>28</v>
      </c>
      <c r="C162" s="268">
        <v>50912</v>
      </c>
      <c r="D162" s="267" t="s">
        <v>463</v>
      </c>
      <c r="E162" s="140">
        <v>1609</v>
      </c>
      <c r="F162" s="265">
        <v>29.29182596031313</v>
      </c>
      <c r="G162" s="265">
        <v>37.600994406463641</v>
      </c>
    </row>
    <row r="163" spans="2:7">
      <c r="B163" s="268" t="s">
        <v>28</v>
      </c>
      <c r="C163" s="268">
        <v>50998</v>
      </c>
      <c r="D163" s="267" t="s">
        <v>464</v>
      </c>
      <c r="E163" s="140">
        <v>4790</v>
      </c>
      <c r="F163" s="265">
        <v>75.959403742467487</v>
      </c>
      <c r="G163" s="265">
        <v>33.131524008350731</v>
      </c>
    </row>
    <row r="164" spans="2:7">
      <c r="B164" s="268" t="s">
        <v>28</v>
      </c>
      <c r="C164" s="268">
        <v>52117</v>
      </c>
      <c r="D164" s="267" t="s">
        <v>465</v>
      </c>
      <c r="E164" s="140">
        <v>1122</v>
      </c>
      <c r="F164" s="265">
        <v>1.2892402445190054</v>
      </c>
      <c r="G164" s="265">
        <v>32.70944741532977</v>
      </c>
    </row>
    <row r="165" spans="2:7">
      <c r="B165" s="268" t="s">
        <v>28</v>
      </c>
      <c r="C165" s="268">
        <v>52125</v>
      </c>
      <c r="D165" s="267" t="s">
        <v>466</v>
      </c>
      <c r="E165" s="140">
        <v>23936</v>
      </c>
      <c r="F165" s="265">
        <v>26.371108124187469</v>
      </c>
      <c r="G165" s="265">
        <v>40.445354278074866</v>
      </c>
    </row>
    <row r="166" spans="2:7">
      <c r="B166" s="268" t="s">
        <v>28</v>
      </c>
      <c r="C166" s="268">
        <v>52231</v>
      </c>
      <c r="D166" s="267" t="s">
        <v>467</v>
      </c>
      <c r="E166" s="140">
        <v>12304</v>
      </c>
      <c r="F166" s="265">
        <v>14.936389239584344</v>
      </c>
      <c r="G166" s="265">
        <v>17.010728218465541</v>
      </c>
    </row>
    <row r="167" spans="2:7">
      <c r="B167" s="268" t="s">
        <v>28</v>
      </c>
      <c r="C167" s="268">
        <v>52290</v>
      </c>
      <c r="D167" s="267" t="s">
        <v>241</v>
      </c>
      <c r="E167" s="140">
        <v>150475</v>
      </c>
      <c r="F167" s="265">
        <v>75.148073792187304</v>
      </c>
      <c r="G167" s="265">
        <v>46.795813258016281</v>
      </c>
    </row>
    <row r="168" spans="2:7">
      <c r="B168" s="268" t="s">
        <v>28</v>
      </c>
      <c r="C168" s="268">
        <v>53105</v>
      </c>
      <c r="D168" s="267" t="s">
        <v>468</v>
      </c>
      <c r="E168" s="140">
        <v>931</v>
      </c>
      <c r="F168" s="265">
        <v>0.90051748319388691</v>
      </c>
      <c r="G168" s="265">
        <v>34.049409237379166</v>
      </c>
    </row>
    <row r="169" spans="2:7">
      <c r="B169" s="268" t="s">
        <v>28</v>
      </c>
      <c r="C169" s="268">
        <v>53202</v>
      </c>
      <c r="D169" s="267" t="s">
        <v>240</v>
      </c>
      <c r="E169" s="140">
        <v>229700</v>
      </c>
      <c r="F169" s="265">
        <v>76.263645780764435</v>
      </c>
      <c r="G169" s="265">
        <v>43.107531562908143</v>
      </c>
    </row>
    <row r="170" spans="2:7">
      <c r="B170" s="268" t="s">
        <v>30</v>
      </c>
      <c r="C170" s="268">
        <v>55906</v>
      </c>
      <c r="D170" s="267" t="s">
        <v>469</v>
      </c>
      <c r="E170" s="140">
        <v>26786</v>
      </c>
      <c r="F170" s="265">
        <v>55.366998077678332</v>
      </c>
      <c r="G170" s="265">
        <v>31.740461435078025</v>
      </c>
    </row>
    <row r="171" spans="2:7">
      <c r="B171" s="268" t="s">
        <v>30</v>
      </c>
      <c r="C171" s="268">
        <v>56112</v>
      </c>
      <c r="D171" s="267" t="s">
        <v>46</v>
      </c>
      <c r="E171" s="140">
        <v>827345</v>
      </c>
      <c r="F171" s="265">
        <v>37.283008290770923</v>
      </c>
      <c r="G171" s="265">
        <v>26.640156162181434</v>
      </c>
    </row>
    <row r="172" spans="2:7">
      <c r="B172" s="268" t="s">
        <v>30</v>
      </c>
      <c r="C172" s="268">
        <v>56121</v>
      </c>
      <c r="D172" s="267" t="s">
        <v>470</v>
      </c>
      <c r="E172" s="140">
        <v>230965</v>
      </c>
      <c r="F172" s="265">
        <v>95.768545009744173</v>
      </c>
      <c r="G172" s="265">
        <v>35.488493927651376</v>
      </c>
    </row>
    <row r="173" spans="2:7">
      <c r="B173" s="268" t="s">
        <v>30</v>
      </c>
      <c r="C173" s="268">
        <v>56201</v>
      </c>
      <c r="D173" s="267" t="s">
        <v>49</v>
      </c>
      <c r="E173" s="140">
        <v>467804</v>
      </c>
      <c r="F173" s="265">
        <v>60.618280440729222</v>
      </c>
      <c r="G173" s="265">
        <v>37.531530299014115</v>
      </c>
    </row>
    <row r="174" spans="2:7">
      <c r="B174" s="268" t="s">
        <v>529</v>
      </c>
      <c r="C174" s="268">
        <v>58115</v>
      </c>
      <c r="D174" s="267" t="s">
        <v>471</v>
      </c>
      <c r="E174" s="140">
        <v>16689</v>
      </c>
      <c r="F174" s="265">
        <v>53.324599801897946</v>
      </c>
      <c r="G174" s="265">
        <v>53.574210557852474</v>
      </c>
    </row>
    <row r="175" spans="2:7">
      <c r="B175" s="269"/>
      <c r="C175" s="268"/>
      <c r="D175" s="267"/>
      <c r="E175" s="140"/>
      <c r="F175" s="265"/>
      <c r="G175" s="265"/>
    </row>
    <row r="176" spans="2:7" ht="48">
      <c r="B176" s="189" t="s">
        <v>525</v>
      </c>
      <c r="C176" s="482" t="s">
        <v>275</v>
      </c>
      <c r="D176" s="491"/>
      <c r="E176" s="264" t="s">
        <v>115</v>
      </c>
      <c r="F176" s="149" t="s">
        <v>316</v>
      </c>
      <c r="G176" s="149" t="s">
        <v>317</v>
      </c>
    </row>
    <row r="177" spans="2:7">
      <c r="B177" s="268" t="s">
        <v>529</v>
      </c>
      <c r="C177" s="268">
        <v>58123</v>
      </c>
      <c r="D177" s="267" t="s">
        <v>472</v>
      </c>
      <c r="E177" s="140">
        <v>28425</v>
      </c>
      <c r="F177" s="265">
        <v>83.726067746686311</v>
      </c>
      <c r="G177" s="265">
        <v>48.154793315743184</v>
      </c>
    </row>
    <row r="178" spans="2:7">
      <c r="B178" s="268" t="s">
        <v>529</v>
      </c>
      <c r="C178" s="268">
        <v>58131</v>
      </c>
      <c r="D178" s="267" t="s">
        <v>473</v>
      </c>
      <c r="E178" s="140">
        <v>14810</v>
      </c>
      <c r="F178" s="265">
        <v>77.123366140707191</v>
      </c>
      <c r="G178" s="265">
        <v>49.270762997974344</v>
      </c>
    </row>
    <row r="179" spans="2:7">
      <c r="B179" s="268" t="s">
        <v>529</v>
      </c>
      <c r="C179" s="268">
        <v>58191</v>
      </c>
      <c r="D179" s="267" t="s">
        <v>474</v>
      </c>
      <c r="E179" s="140">
        <v>66969</v>
      </c>
      <c r="F179" s="265">
        <v>92.85773710482529</v>
      </c>
      <c r="G179" s="265">
        <v>48.580686586330991</v>
      </c>
    </row>
    <row r="180" spans="2:7">
      <c r="B180" s="268" t="s">
        <v>529</v>
      </c>
      <c r="C180" s="268">
        <v>59120</v>
      </c>
      <c r="D180" s="267" t="s">
        <v>475</v>
      </c>
      <c r="E180" s="140">
        <v>54879</v>
      </c>
      <c r="F180" s="265">
        <v>91.220225727630861</v>
      </c>
      <c r="G180" s="265">
        <v>47.994679203338251</v>
      </c>
    </row>
    <row r="181" spans="2:7">
      <c r="B181" s="268" t="s">
        <v>529</v>
      </c>
      <c r="C181" s="268">
        <v>61906</v>
      </c>
      <c r="D181" s="267" t="s">
        <v>476</v>
      </c>
      <c r="E181" s="140">
        <v>23957</v>
      </c>
      <c r="F181" s="265">
        <v>17.876223734479467</v>
      </c>
      <c r="G181" s="265">
        <v>46.216137245898906</v>
      </c>
    </row>
    <row r="182" spans="2:7">
      <c r="B182" s="268" t="s">
        <v>529</v>
      </c>
      <c r="C182" s="268">
        <v>63992</v>
      </c>
      <c r="D182" s="267" t="s">
        <v>477</v>
      </c>
      <c r="E182" s="140">
        <v>6120</v>
      </c>
      <c r="F182" s="265">
        <v>28.192371475953564</v>
      </c>
      <c r="G182" s="265">
        <v>46.764705882352942</v>
      </c>
    </row>
    <row r="183" spans="2:7">
      <c r="B183" s="268" t="s">
        <v>527</v>
      </c>
      <c r="C183" s="268">
        <v>73190</v>
      </c>
      <c r="D183" s="267" t="s">
        <v>48</v>
      </c>
      <c r="E183" s="140">
        <v>527661</v>
      </c>
      <c r="F183" s="265">
        <v>77.013938553601406</v>
      </c>
      <c r="G183" s="265">
        <v>42.614481646360069</v>
      </c>
    </row>
    <row r="184" spans="2:7">
      <c r="B184" s="268" t="s">
        <v>527</v>
      </c>
      <c r="C184" s="268">
        <v>74200</v>
      </c>
      <c r="D184" s="267" t="s">
        <v>478</v>
      </c>
      <c r="E184" s="140">
        <v>96163</v>
      </c>
      <c r="F184" s="265">
        <v>80.839813374805601</v>
      </c>
      <c r="G184" s="265">
        <v>45.222174848954374</v>
      </c>
    </row>
    <row r="185" spans="2:7">
      <c r="B185" s="268" t="s">
        <v>527</v>
      </c>
      <c r="C185" s="268">
        <v>74901</v>
      </c>
      <c r="D185" s="267" t="s">
        <v>479</v>
      </c>
      <c r="E185" s="140">
        <v>715</v>
      </c>
      <c r="F185" s="265">
        <v>0.37693674316110226</v>
      </c>
      <c r="G185" s="265">
        <v>38.04195804195804</v>
      </c>
    </row>
    <row r="186" spans="2:7">
      <c r="B186" s="268" t="s">
        <v>286</v>
      </c>
      <c r="C186" s="268">
        <v>77195</v>
      </c>
      <c r="D186" s="267" t="s">
        <v>480</v>
      </c>
      <c r="E186" s="140">
        <v>1256</v>
      </c>
      <c r="F186" s="265">
        <v>10.119239445697712</v>
      </c>
      <c r="G186" s="265">
        <v>38.933121019108277</v>
      </c>
    </row>
    <row r="187" spans="2:7">
      <c r="B187" s="268" t="s">
        <v>286</v>
      </c>
      <c r="C187" s="268">
        <v>77217</v>
      </c>
      <c r="D187" s="267" t="s">
        <v>481</v>
      </c>
      <c r="E187" s="140">
        <v>12887</v>
      </c>
      <c r="F187" s="265">
        <v>73.698959167333868</v>
      </c>
      <c r="G187" s="265">
        <v>38.62031504617056</v>
      </c>
    </row>
    <row r="188" spans="2:7">
      <c r="B188" s="268" t="s">
        <v>286</v>
      </c>
      <c r="C188" s="268">
        <v>77225</v>
      </c>
      <c r="D188" s="267" t="s">
        <v>482</v>
      </c>
      <c r="E188" s="140">
        <v>1549</v>
      </c>
      <c r="F188" s="265">
        <v>57.971556886227546</v>
      </c>
      <c r="G188" s="265">
        <v>31.697869593285994</v>
      </c>
    </row>
    <row r="189" spans="2:7">
      <c r="B189" s="268" t="s">
        <v>286</v>
      </c>
      <c r="C189" s="268">
        <v>77233</v>
      </c>
      <c r="D189" s="267" t="s">
        <v>483</v>
      </c>
      <c r="E189" s="140">
        <v>4902</v>
      </c>
      <c r="F189" s="265">
        <v>24.193070772875334</v>
      </c>
      <c r="G189" s="265">
        <v>33.210934312525495</v>
      </c>
    </row>
    <row r="190" spans="2:7">
      <c r="B190" s="268" t="s">
        <v>286</v>
      </c>
      <c r="C190" s="268">
        <v>77292</v>
      </c>
      <c r="D190" s="267" t="s">
        <v>484</v>
      </c>
      <c r="E190" s="140">
        <v>19197</v>
      </c>
      <c r="F190" s="265">
        <v>65.070164734594258</v>
      </c>
      <c r="G190" s="265">
        <v>42.725425847788721</v>
      </c>
    </row>
    <row r="191" spans="2:7">
      <c r="B191" s="268" t="s">
        <v>286</v>
      </c>
      <c r="C191" s="268">
        <v>77314</v>
      </c>
      <c r="D191" s="267" t="s">
        <v>485</v>
      </c>
      <c r="E191" s="140">
        <v>3210</v>
      </c>
      <c r="F191" s="265">
        <v>24.822146613052894</v>
      </c>
      <c r="G191" s="265">
        <v>36.728971962616825</v>
      </c>
    </row>
    <row r="192" spans="2:7">
      <c r="B192" s="268" t="s">
        <v>286</v>
      </c>
      <c r="C192" s="268">
        <v>77322</v>
      </c>
      <c r="D192" s="267" t="s">
        <v>486</v>
      </c>
      <c r="E192" s="140">
        <v>8613</v>
      </c>
      <c r="F192" s="265">
        <v>9.626582915134513</v>
      </c>
      <c r="G192" s="265">
        <v>42.575177057935676</v>
      </c>
    </row>
    <row r="193" spans="2:7">
      <c r="B193" s="268" t="s">
        <v>286</v>
      </c>
      <c r="C193" s="268">
        <v>77331</v>
      </c>
      <c r="D193" s="267" t="s">
        <v>487</v>
      </c>
      <c r="E193" s="140">
        <v>1384</v>
      </c>
      <c r="F193" s="265">
        <v>6.291767059144429</v>
      </c>
      <c r="G193" s="265">
        <v>38.294797687861269</v>
      </c>
    </row>
    <row r="194" spans="2:7">
      <c r="B194" s="268" t="s">
        <v>286</v>
      </c>
      <c r="C194" s="268">
        <v>77390</v>
      </c>
      <c r="D194" s="267" t="s">
        <v>488</v>
      </c>
      <c r="E194" s="140">
        <v>10698</v>
      </c>
      <c r="F194" s="265">
        <v>12.16954088365109</v>
      </c>
      <c r="G194" s="265">
        <v>41.054402692091976</v>
      </c>
    </row>
    <row r="195" spans="2:7">
      <c r="B195" s="268" t="s">
        <v>286</v>
      </c>
      <c r="C195" s="268">
        <v>79112</v>
      </c>
      <c r="D195" s="267" t="s">
        <v>489</v>
      </c>
      <c r="E195" s="140">
        <v>42413</v>
      </c>
      <c r="F195" s="265">
        <v>39.855848744549697</v>
      </c>
      <c r="G195" s="265">
        <v>41.63346143870983</v>
      </c>
    </row>
    <row r="196" spans="2:7">
      <c r="B196" s="268" t="s">
        <v>286</v>
      </c>
      <c r="C196" s="268">
        <v>79121</v>
      </c>
      <c r="D196" s="267" t="s">
        <v>490</v>
      </c>
      <c r="E196" s="140">
        <v>9735</v>
      </c>
      <c r="F196" s="265">
        <v>68.034104409812002</v>
      </c>
      <c r="G196" s="265">
        <v>45.659989727786339</v>
      </c>
    </row>
    <row r="197" spans="2:7">
      <c r="B197" s="268" t="s">
        <v>286</v>
      </c>
      <c r="C197" s="268">
        <v>79902</v>
      </c>
      <c r="D197" s="267" t="s">
        <v>491</v>
      </c>
      <c r="E197" s="140">
        <v>6181</v>
      </c>
      <c r="F197" s="265">
        <v>48.255133109532359</v>
      </c>
      <c r="G197" s="265">
        <v>38.844847112117783</v>
      </c>
    </row>
    <row r="198" spans="2:7">
      <c r="B198" s="268" t="s">
        <v>286</v>
      </c>
      <c r="C198" s="268">
        <v>80111</v>
      </c>
      <c r="D198" s="267" t="s">
        <v>492</v>
      </c>
      <c r="E198" s="140">
        <v>1680</v>
      </c>
      <c r="F198" s="265">
        <v>0.32251933676202105</v>
      </c>
      <c r="G198" s="265">
        <v>37.738095238095241</v>
      </c>
    </row>
    <row r="199" spans="2:7">
      <c r="B199" s="268" t="s">
        <v>286</v>
      </c>
      <c r="C199" s="268">
        <v>80200</v>
      </c>
      <c r="D199" s="267" t="s">
        <v>493</v>
      </c>
      <c r="E199" s="140">
        <v>5068</v>
      </c>
      <c r="F199" s="265">
        <v>4.9680916763878402</v>
      </c>
      <c r="G199" s="265">
        <v>35.990528808208367</v>
      </c>
    </row>
    <row r="200" spans="2:7">
      <c r="B200" s="268"/>
      <c r="C200" s="268"/>
      <c r="D200" s="267"/>
      <c r="E200" s="140"/>
      <c r="F200" s="265"/>
      <c r="G200" s="265"/>
    </row>
    <row r="201" spans="2:7" ht="48">
      <c r="B201" s="189" t="s">
        <v>525</v>
      </c>
      <c r="C201" s="482" t="s">
        <v>275</v>
      </c>
      <c r="D201" s="491"/>
      <c r="E201" s="264" t="s">
        <v>115</v>
      </c>
      <c r="F201" s="149" t="s">
        <v>316</v>
      </c>
      <c r="G201" s="149" t="s">
        <v>317</v>
      </c>
    </row>
    <row r="202" spans="2:7">
      <c r="B202" s="268" t="s">
        <v>286</v>
      </c>
      <c r="C202" s="268">
        <v>81290</v>
      </c>
      <c r="D202" s="267" t="s">
        <v>494</v>
      </c>
      <c r="E202" s="140">
        <v>16262</v>
      </c>
      <c r="F202" s="265">
        <v>13.585971244057912</v>
      </c>
      <c r="G202" s="265">
        <v>39.976632640511625</v>
      </c>
    </row>
    <row r="203" spans="2:7">
      <c r="B203" s="268" t="s">
        <v>286</v>
      </c>
      <c r="C203" s="268">
        <v>81303</v>
      </c>
      <c r="D203" s="267" t="s">
        <v>495</v>
      </c>
      <c r="E203" s="140">
        <v>68877</v>
      </c>
      <c r="F203" s="265">
        <v>64.581672933212062</v>
      </c>
      <c r="G203" s="265">
        <v>36.809094472755781</v>
      </c>
    </row>
    <row r="204" spans="2:7">
      <c r="B204" s="268" t="s">
        <v>286</v>
      </c>
      <c r="C204" s="268">
        <v>82199</v>
      </c>
      <c r="D204" s="267" t="s">
        <v>58</v>
      </c>
      <c r="E204" s="140">
        <v>248185</v>
      </c>
      <c r="F204" s="265">
        <v>59.738406029081503</v>
      </c>
      <c r="G204" s="265">
        <v>50.888651610693636</v>
      </c>
    </row>
    <row r="205" spans="2:7">
      <c r="B205" s="268" t="s">
        <v>286</v>
      </c>
      <c r="C205" s="268">
        <v>82300</v>
      </c>
      <c r="D205" s="267" t="s">
        <v>496</v>
      </c>
      <c r="E205" s="140">
        <v>177564</v>
      </c>
      <c r="F205" s="265">
        <v>72.934440168078964</v>
      </c>
      <c r="G205" s="265">
        <v>42.455677952738171</v>
      </c>
    </row>
    <row r="206" spans="2:7">
      <c r="B206" s="268" t="s">
        <v>286</v>
      </c>
      <c r="C206" s="268">
        <v>82911</v>
      </c>
      <c r="D206" s="267" t="s">
        <v>497</v>
      </c>
      <c r="E206" s="140">
        <v>29285</v>
      </c>
      <c r="F206" s="265">
        <v>17.232147060208071</v>
      </c>
      <c r="G206" s="265">
        <v>39.13266177223835</v>
      </c>
    </row>
    <row r="207" spans="2:7">
      <c r="B207" s="268" t="s">
        <v>286</v>
      </c>
      <c r="C207" s="268">
        <v>82920</v>
      </c>
      <c r="D207" s="267" t="s">
        <v>498</v>
      </c>
      <c r="E207" s="140">
        <v>3398</v>
      </c>
      <c r="F207" s="265">
        <v>15.603618496578958</v>
      </c>
      <c r="G207" s="265">
        <v>38.463802236609773</v>
      </c>
    </row>
    <row r="208" spans="2:7">
      <c r="B208" s="268" t="s">
        <v>286</v>
      </c>
      <c r="C208" s="268">
        <v>82997</v>
      </c>
      <c r="D208" s="267" t="s">
        <v>499</v>
      </c>
      <c r="E208" s="140">
        <v>22912</v>
      </c>
      <c r="F208" s="265">
        <v>6.3306983054219321</v>
      </c>
      <c r="G208" s="265">
        <v>38.132856145251395</v>
      </c>
    </row>
    <row r="209" spans="2:7">
      <c r="B209" s="268" t="s">
        <v>532</v>
      </c>
      <c r="C209" s="268">
        <v>85929</v>
      </c>
      <c r="D209" s="267" t="s">
        <v>500</v>
      </c>
      <c r="E209" s="140">
        <v>72031</v>
      </c>
      <c r="F209" s="265">
        <v>83.388515860152808</v>
      </c>
      <c r="G209" s="265">
        <v>43.774208326970331</v>
      </c>
    </row>
    <row r="210" spans="2:7">
      <c r="B210" s="268" t="s">
        <v>532</v>
      </c>
      <c r="C210" s="268">
        <v>85937</v>
      </c>
      <c r="D210" s="267" t="s">
        <v>501</v>
      </c>
      <c r="E210" s="140">
        <v>17296</v>
      </c>
      <c r="F210" s="265">
        <v>20.562325387861854</v>
      </c>
      <c r="G210" s="265">
        <v>48.884135060129509</v>
      </c>
    </row>
    <row r="211" spans="2:7">
      <c r="B211" s="268" t="s">
        <v>532</v>
      </c>
      <c r="C211" s="268">
        <v>85996</v>
      </c>
      <c r="D211" s="267" t="s">
        <v>51</v>
      </c>
      <c r="E211" s="140">
        <v>381023</v>
      </c>
      <c r="F211" s="265">
        <v>48.725477282638025</v>
      </c>
      <c r="G211" s="265">
        <v>48.501271576781448</v>
      </c>
    </row>
    <row r="212" spans="2:7">
      <c r="B212" s="268" t="s">
        <v>530</v>
      </c>
      <c r="C212" s="268">
        <v>87123</v>
      </c>
      <c r="D212" s="267" t="s">
        <v>502</v>
      </c>
      <c r="E212" s="140">
        <v>128643</v>
      </c>
      <c r="F212" s="265">
        <v>85.631269595084831</v>
      </c>
      <c r="G212" s="265">
        <v>41.330659266341733</v>
      </c>
    </row>
    <row r="213" spans="2:7">
      <c r="B213" s="268" t="s">
        <v>526</v>
      </c>
      <c r="C213" s="268">
        <v>90019</v>
      </c>
      <c r="D213" s="267" t="s">
        <v>503</v>
      </c>
      <c r="E213" s="140">
        <v>84905</v>
      </c>
      <c r="F213" s="265">
        <v>74.215711126456469</v>
      </c>
      <c r="G213" s="265">
        <v>45.534420823273067</v>
      </c>
    </row>
    <row r="214" spans="2:7">
      <c r="B214" s="268" t="s">
        <v>526</v>
      </c>
      <c r="C214" s="268">
        <v>90027</v>
      </c>
      <c r="D214" s="267" t="s">
        <v>504</v>
      </c>
      <c r="E214" s="140">
        <v>1851</v>
      </c>
      <c r="F214" s="265">
        <v>45.24566120752872</v>
      </c>
      <c r="G214" s="265">
        <v>48.730415991356026</v>
      </c>
    </row>
    <row r="215" spans="2:7">
      <c r="B215" s="268" t="s">
        <v>526</v>
      </c>
      <c r="C215" s="268">
        <v>93298</v>
      </c>
      <c r="D215" s="267" t="s">
        <v>505</v>
      </c>
      <c r="E215" s="140">
        <v>13683</v>
      </c>
      <c r="F215" s="265">
        <v>31.099847716889791</v>
      </c>
      <c r="G215" s="265">
        <v>40.100855075641306</v>
      </c>
    </row>
    <row r="216" spans="2:7">
      <c r="B216" s="268" t="s">
        <v>531</v>
      </c>
      <c r="C216" s="268">
        <v>95118</v>
      </c>
      <c r="D216" s="267" t="s">
        <v>506</v>
      </c>
      <c r="E216" s="140">
        <v>134268</v>
      </c>
      <c r="F216" s="265">
        <v>66.189802467796881</v>
      </c>
      <c r="G216" s="265">
        <v>47.141537819882622</v>
      </c>
    </row>
    <row r="217" spans="2:7">
      <c r="B217" s="268" t="s">
        <v>531</v>
      </c>
      <c r="C217" s="268">
        <v>95126</v>
      </c>
      <c r="D217" s="267" t="s">
        <v>507</v>
      </c>
      <c r="E217" s="140">
        <v>54310</v>
      </c>
      <c r="F217" s="265">
        <v>73.696637446739217</v>
      </c>
      <c r="G217" s="265">
        <v>30.530289081200518</v>
      </c>
    </row>
    <row r="218" spans="2:7">
      <c r="B218" s="268" t="s">
        <v>531</v>
      </c>
      <c r="C218" s="268">
        <v>95215</v>
      </c>
      <c r="D218" s="267" t="s">
        <v>508</v>
      </c>
      <c r="E218" s="140">
        <v>32123</v>
      </c>
      <c r="F218" s="265">
        <v>47.774357143919453</v>
      </c>
      <c r="G218" s="265">
        <v>38.010148491734896</v>
      </c>
    </row>
    <row r="219" spans="2:7">
      <c r="B219" s="268" t="s">
        <v>531</v>
      </c>
      <c r="C219" s="268">
        <v>95291</v>
      </c>
      <c r="D219" s="267" t="s">
        <v>509</v>
      </c>
      <c r="E219" s="140">
        <v>69210</v>
      </c>
      <c r="F219" s="265">
        <v>69.494929209760016</v>
      </c>
      <c r="G219" s="265">
        <v>34.551365409622889</v>
      </c>
    </row>
    <row r="220" spans="2:7">
      <c r="B220" s="268" t="s">
        <v>531</v>
      </c>
      <c r="C220" s="268">
        <v>96017</v>
      </c>
      <c r="D220" s="267" t="s">
        <v>510</v>
      </c>
      <c r="E220" s="140">
        <v>14408</v>
      </c>
      <c r="F220" s="265">
        <v>21.028357925770248</v>
      </c>
      <c r="G220" s="265">
        <v>41.490838423098282</v>
      </c>
    </row>
    <row r="221" spans="2:7">
      <c r="B221" s="268" t="s">
        <v>531</v>
      </c>
      <c r="C221" s="268">
        <v>96025</v>
      </c>
      <c r="D221" s="267" t="s">
        <v>44</v>
      </c>
      <c r="E221" s="140">
        <v>1197209</v>
      </c>
      <c r="F221" s="265">
        <v>90.31041141770892</v>
      </c>
      <c r="G221" s="265">
        <v>34.614340520326856</v>
      </c>
    </row>
    <row r="222" spans="2:7">
      <c r="B222" s="268" t="s">
        <v>531</v>
      </c>
      <c r="C222" s="268">
        <v>96033</v>
      </c>
      <c r="D222" s="267" t="s">
        <v>511</v>
      </c>
      <c r="E222" s="140">
        <v>2221</v>
      </c>
      <c r="F222" s="265">
        <v>3.4090560245587107</v>
      </c>
      <c r="G222" s="265">
        <v>28.230526789734355</v>
      </c>
    </row>
    <row r="223" spans="2:7">
      <c r="B223" s="268" t="s">
        <v>531</v>
      </c>
      <c r="C223" s="268">
        <v>96092</v>
      </c>
      <c r="D223" s="267" t="s">
        <v>512</v>
      </c>
      <c r="E223" s="140">
        <v>107889</v>
      </c>
      <c r="F223" s="265">
        <v>74.539864584772701</v>
      </c>
      <c r="G223" s="265">
        <v>33.027463411469192</v>
      </c>
    </row>
    <row r="224" spans="2:7">
      <c r="B224" s="269" t="s">
        <v>528</v>
      </c>
      <c r="C224" s="269">
        <v>97005</v>
      </c>
      <c r="D224" s="270" t="s">
        <v>513</v>
      </c>
      <c r="E224" s="145">
        <v>221474</v>
      </c>
      <c r="F224" s="271">
        <v>99.942689789306002</v>
      </c>
      <c r="G224" s="271">
        <v>40.293217262522916</v>
      </c>
    </row>
    <row r="225" spans="2:7" ht="7.5" customHeight="1">
      <c r="C225" s="83"/>
      <c r="D225" s="83"/>
      <c r="E225" s="82"/>
    </row>
    <row r="226" spans="2:7" ht="25.5" customHeight="1">
      <c r="B226" s="411" t="s">
        <v>547</v>
      </c>
      <c r="C226" s="411"/>
      <c r="D226" s="411"/>
      <c r="E226" s="411"/>
      <c r="F226" s="411"/>
      <c r="G226" s="411"/>
    </row>
    <row r="227" spans="2:7">
      <c r="B227" s="489" t="s">
        <v>604</v>
      </c>
      <c r="C227" s="489"/>
      <c r="D227" s="489"/>
      <c r="E227" s="489"/>
      <c r="F227" s="489"/>
      <c r="G227" s="489"/>
    </row>
  </sheetData>
  <mergeCells count="9">
    <mergeCell ref="B227:G227"/>
    <mergeCell ref="C2:G2"/>
    <mergeCell ref="C4:D4"/>
    <mergeCell ref="C53:D53"/>
    <mergeCell ref="B226:G226"/>
    <mergeCell ref="C201:D201"/>
    <mergeCell ref="C102:D102"/>
    <mergeCell ref="C151:D151"/>
    <mergeCell ref="C176:D176"/>
  </mergeCells>
  <pageMargins left="0.7" right="0.7" top="0.75" bottom="0.75" header="0.3" footer="0.3"/>
  <pageSetup paperSize="9" orientation="portrait" r:id="rId1"/>
  <ignoredErrors>
    <ignoredError sqref="C6:C12"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07754-385A-4BB0-AC5E-12BDAC23DB47}">
  <sheetPr>
    <tabColor rgb="FF92D050"/>
  </sheetPr>
  <dimension ref="A1:F21"/>
  <sheetViews>
    <sheetView topLeftCell="A4" zoomScaleNormal="100" workbookViewId="0">
      <selection activeCell="I4" sqref="I4"/>
    </sheetView>
  </sheetViews>
  <sheetFormatPr defaultRowHeight="15"/>
  <cols>
    <col min="1" max="1" width="2.42578125" style="13" customWidth="1"/>
    <col min="2" max="2" width="15" style="13" customWidth="1"/>
    <col min="3" max="3" width="15.28515625" style="13" customWidth="1"/>
    <col min="4" max="4" width="9.140625" style="13"/>
    <col min="5" max="5" width="11.7109375" style="13" customWidth="1"/>
    <col min="6" max="6" width="13.7109375" style="13" customWidth="1"/>
    <col min="7" max="16384" width="9.140625" style="13"/>
  </cols>
  <sheetData>
    <row r="1" spans="1:6">
      <c r="A1" s="11"/>
      <c r="B1" s="12" t="s">
        <v>60</v>
      </c>
      <c r="C1" s="180"/>
      <c r="D1" s="180"/>
      <c r="E1" s="180"/>
      <c r="F1" s="180"/>
    </row>
    <row r="2" spans="1:6" ht="5.25" customHeight="1">
      <c r="A2" s="11"/>
      <c r="B2" s="14"/>
      <c r="C2" s="14"/>
      <c r="D2" s="14"/>
      <c r="E2" s="14"/>
      <c r="F2" s="14"/>
    </row>
    <row r="3" spans="1:6" ht="12.75" customHeight="1">
      <c r="A3" s="11"/>
      <c r="B3" s="385" t="s">
        <v>61</v>
      </c>
      <c r="C3" s="387" t="s">
        <v>62</v>
      </c>
      <c r="D3" s="389" t="s">
        <v>40</v>
      </c>
      <c r="E3" s="389"/>
      <c r="F3" s="369"/>
    </row>
    <row r="4" spans="1:6" ht="21" customHeight="1">
      <c r="A4" s="11"/>
      <c r="B4" s="386"/>
      <c r="C4" s="388"/>
      <c r="D4" s="181" t="s">
        <v>6</v>
      </c>
      <c r="E4" s="181" t="s">
        <v>7</v>
      </c>
      <c r="F4" s="182" t="s">
        <v>63</v>
      </c>
    </row>
    <row r="5" spans="1:6">
      <c r="A5" s="11"/>
      <c r="B5" s="390" t="s">
        <v>8</v>
      </c>
      <c r="C5" s="390"/>
      <c r="D5" s="183" t="s">
        <v>64</v>
      </c>
      <c r="E5" s="312">
        <v>100</v>
      </c>
      <c r="F5" s="184" t="s">
        <v>65</v>
      </c>
    </row>
    <row r="6" spans="1:6" ht="12.95" customHeight="1">
      <c r="A6" s="11"/>
      <c r="B6" s="303" t="s">
        <v>66</v>
      </c>
      <c r="C6" s="185">
        <v>2021</v>
      </c>
      <c r="D6" s="184" t="s">
        <v>67</v>
      </c>
      <c r="E6" s="184">
        <v>21.9</v>
      </c>
      <c r="F6" s="184">
        <v>21.9</v>
      </c>
    </row>
    <row r="7" spans="1:6" ht="12.95" customHeight="1">
      <c r="A7" s="11"/>
      <c r="B7" s="303" t="s">
        <v>68</v>
      </c>
      <c r="C7" s="185">
        <v>2020</v>
      </c>
      <c r="D7" s="184" t="s">
        <v>69</v>
      </c>
      <c r="E7" s="184">
        <v>16.7</v>
      </c>
      <c r="F7" s="184">
        <v>38.6</v>
      </c>
    </row>
    <row r="8" spans="1:6" ht="12.95" customHeight="1">
      <c r="A8" s="11"/>
      <c r="B8" s="303" t="s">
        <v>70</v>
      </c>
      <c r="C8" s="185">
        <v>2019</v>
      </c>
      <c r="D8" s="184" t="s">
        <v>71</v>
      </c>
      <c r="E8" s="184">
        <v>14.5</v>
      </c>
      <c r="F8" s="184">
        <v>53.1</v>
      </c>
    </row>
    <row r="9" spans="1:6" ht="12.95" customHeight="1">
      <c r="A9" s="11"/>
      <c r="B9" s="303" t="s">
        <v>72</v>
      </c>
      <c r="C9" s="185">
        <v>2018</v>
      </c>
      <c r="D9" s="184" t="s">
        <v>73</v>
      </c>
      <c r="E9" s="184">
        <v>10.7</v>
      </c>
      <c r="F9" s="184">
        <v>63.9</v>
      </c>
    </row>
    <row r="10" spans="1:6" ht="12.95" customHeight="1">
      <c r="A10" s="11"/>
      <c r="B10" s="303" t="s">
        <v>74</v>
      </c>
      <c r="C10" s="185">
        <v>2017</v>
      </c>
      <c r="D10" s="184" t="s">
        <v>75</v>
      </c>
      <c r="E10" s="184">
        <v>8.1999999999999993</v>
      </c>
      <c r="F10" s="184">
        <v>72.099999999999994</v>
      </c>
    </row>
    <row r="11" spans="1:6" ht="12.95" customHeight="1">
      <c r="A11" s="11"/>
      <c r="B11" s="303" t="s">
        <v>76</v>
      </c>
      <c r="C11" s="185">
        <v>2016</v>
      </c>
      <c r="D11" s="184" t="s">
        <v>77</v>
      </c>
      <c r="E11" s="224">
        <v>7</v>
      </c>
      <c r="F11" s="224">
        <v>79</v>
      </c>
    </row>
    <row r="12" spans="1:6" ht="12.95" customHeight="1">
      <c r="A12" s="11"/>
      <c r="B12" s="303" t="s">
        <v>78</v>
      </c>
      <c r="C12" s="185">
        <v>2015</v>
      </c>
      <c r="D12" s="184" t="s">
        <v>79</v>
      </c>
      <c r="E12" s="184">
        <v>6.4</v>
      </c>
      <c r="F12" s="184">
        <v>85.5</v>
      </c>
    </row>
    <row r="13" spans="1:6" ht="12.95" customHeight="1">
      <c r="A13" s="11"/>
      <c r="B13" s="303" t="s">
        <v>80</v>
      </c>
      <c r="C13" s="185">
        <v>2014</v>
      </c>
      <c r="D13" s="184" t="s">
        <v>81</v>
      </c>
      <c r="E13" s="224">
        <v>4</v>
      </c>
      <c r="F13" s="184">
        <v>89.5</v>
      </c>
    </row>
    <row r="14" spans="1:6" ht="12.95" customHeight="1">
      <c r="A14" s="11"/>
      <c r="B14" s="303" t="s">
        <v>82</v>
      </c>
      <c r="C14" s="185">
        <v>2013</v>
      </c>
      <c r="D14" s="184" t="s">
        <v>83</v>
      </c>
      <c r="E14" s="184">
        <v>3.4</v>
      </c>
      <c r="F14" s="184">
        <v>92.9</v>
      </c>
    </row>
    <row r="15" spans="1:6" ht="12.95" customHeight="1">
      <c r="A15" s="11"/>
      <c r="B15" s="303" t="s">
        <v>84</v>
      </c>
      <c r="C15" s="185">
        <v>2012</v>
      </c>
      <c r="D15" s="184" t="s">
        <v>85</v>
      </c>
      <c r="E15" s="184">
        <v>2.8</v>
      </c>
      <c r="F15" s="184">
        <v>95.7</v>
      </c>
    </row>
    <row r="16" spans="1:6" ht="12.95" customHeight="1">
      <c r="A16" s="11"/>
      <c r="B16" s="303" t="s">
        <v>86</v>
      </c>
      <c r="C16" s="185">
        <v>2011</v>
      </c>
      <c r="D16" s="184" t="s">
        <v>87</v>
      </c>
      <c r="E16" s="184">
        <v>2.2999999999999998</v>
      </c>
      <c r="F16" s="224">
        <v>98</v>
      </c>
    </row>
    <row r="17" spans="1:6" ht="12.95" customHeight="1">
      <c r="A17" s="11"/>
      <c r="B17" s="303" t="s">
        <v>88</v>
      </c>
      <c r="C17" s="185">
        <v>2010</v>
      </c>
      <c r="D17" s="184" t="s">
        <v>89</v>
      </c>
      <c r="E17" s="184">
        <v>1.9</v>
      </c>
      <c r="F17" s="184">
        <v>99.9</v>
      </c>
    </row>
    <row r="18" spans="1:6" ht="12.95" customHeight="1">
      <c r="A18" s="11"/>
      <c r="B18" s="304" t="s">
        <v>90</v>
      </c>
      <c r="C18" s="186">
        <v>2009</v>
      </c>
      <c r="D18" s="187" t="s">
        <v>91</v>
      </c>
      <c r="E18" s="187">
        <v>0.1</v>
      </c>
      <c r="F18" s="227">
        <v>100</v>
      </c>
    </row>
    <row r="19" spans="1:6" ht="38.25" customHeight="1">
      <c r="A19" s="11"/>
      <c r="B19" s="391" t="s">
        <v>544</v>
      </c>
      <c r="C19" s="391"/>
      <c r="D19" s="391"/>
      <c r="E19" s="391"/>
      <c r="F19" s="391"/>
    </row>
    <row r="20" spans="1:6" ht="38.25" customHeight="1">
      <c r="A20" s="11"/>
      <c r="B20" s="384" t="s">
        <v>550</v>
      </c>
      <c r="C20" s="384"/>
      <c r="D20" s="384"/>
      <c r="E20" s="384"/>
      <c r="F20" s="384"/>
    </row>
    <row r="21" spans="1:6">
      <c r="A21" s="11"/>
      <c r="B21" s="384"/>
      <c r="C21" s="384"/>
      <c r="D21" s="384"/>
      <c r="E21" s="384"/>
      <c r="F21" s="384"/>
    </row>
  </sheetData>
  <mergeCells count="7">
    <mergeCell ref="B21:F21"/>
    <mergeCell ref="B3:B4"/>
    <mergeCell ref="C3:C4"/>
    <mergeCell ref="D3:F3"/>
    <mergeCell ref="B5:C5"/>
    <mergeCell ref="B19:F19"/>
    <mergeCell ref="B20:F2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A2909-2964-48EB-81F9-AFE1ED6AE6CC}">
  <sheetPr>
    <tabColor rgb="FF92D050"/>
  </sheetPr>
  <dimension ref="C1:E24"/>
  <sheetViews>
    <sheetView showGridLines="0" zoomScale="85" zoomScaleNormal="85" workbookViewId="0"/>
  </sheetViews>
  <sheetFormatPr defaultRowHeight="15"/>
  <cols>
    <col min="3" max="3" width="45.5703125" customWidth="1"/>
    <col min="4" max="4" width="11" customWidth="1"/>
    <col min="5" max="5" width="14.140625" customWidth="1"/>
  </cols>
  <sheetData>
    <row r="1" spans="3:5">
      <c r="C1" s="394" t="s">
        <v>93</v>
      </c>
      <c r="D1" s="394"/>
      <c r="E1" s="394"/>
    </row>
    <row r="2" spans="3:5">
      <c r="C2" s="395"/>
      <c r="D2" s="395"/>
      <c r="E2" s="395"/>
    </row>
    <row r="3" spans="3:5" s="15" customFormat="1" ht="36">
      <c r="C3" s="189" t="s">
        <v>94</v>
      </c>
      <c r="D3" s="150" t="s">
        <v>95</v>
      </c>
      <c r="E3" s="149" t="s">
        <v>96</v>
      </c>
    </row>
    <row r="4" spans="3:5">
      <c r="C4" s="190" t="s">
        <v>97</v>
      </c>
      <c r="D4" s="93">
        <f>100*0.48493502447498</f>
        <v>48.493502447498003</v>
      </c>
      <c r="E4" s="93">
        <f>100*0.0160558931127965</f>
        <v>1.60558931127965</v>
      </c>
    </row>
    <row r="5" spans="3:5">
      <c r="C5" s="190" t="s">
        <v>98</v>
      </c>
      <c r="D5" s="93">
        <f>100*0.477914319124057</f>
        <v>47.791431912405699</v>
      </c>
      <c r="E5" s="93">
        <f>100*0.0356475099037703</f>
        <v>3.5647509903770302</v>
      </c>
    </row>
    <row r="6" spans="3:5">
      <c r="C6" s="190" t="s">
        <v>99</v>
      </c>
      <c r="D6" s="93">
        <f>100*0.452615414470323</f>
        <v>45.2615414470323</v>
      </c>
      <c r="E6" s="93">
        <f>100*0.0765481296330963</f>
        <v>7.65481296330963</v>
      </c>
    </row>
    <row r="7" spans="3:5">
      <c r="C7" s="190" t="s">
        <v>100</v>
      </c>
      <c r="D7" s="93">
        <f>100*0.448530949133305</f>
        <v>44.853094913330501</v>
      </c>
      <c r="E7" s="93">
        <f>100*0.00761220420373081</f>
        <v>0.76122042037308102</v>
      </c>
    </row>
    <row r="8" spans="3:5" ht="24.75">
      <c r="C8" s="190" t="s">
        <v>101</v>
      </c>
      <c r="D8" s="93">
        <f>100*0.442367991070915</f>
        <v>44.2367991070915</v>
      </c>
      <c r="E8" s="93">
        <f>100*0.0526929842577989</f>
        <v>5.2692984257798896</v>
      </c>
    </row>
    <row r="9" spans="3:5">
      <c r="C9" s="190" t="s">
        <v>102</v>
      </c>
      <c r="D9" s="93">
        <f>100*0.430107647400723</f>
        <v>43.010764740072297</v>
      </c>
      <c r="E9" s="93">
        <f>100*0.0473333904279596</f>
        <v>4.7333390427959605</v>
      </c>
    </row>
    <row r="10" spans="3:5">
      <c r="C10" s="190" t="s">
        <v>103</v>
      </c>
      <c r="D10" s="93">
        <f>100*0.414001660476042</f>
        <v>41.400166047604195</v>
      </c>
      <c r="E10" s="93">
        <f>100*0.104796630709684</f>
        <v>10.4796630709684</v>
      </c>
    </row>
    <row r="11" spans="3:5">
      <c r="C11" s="190" t="s">
        <v>104</v>
      </c>
      <c r="D11" s="93">
        <f>100*0.413306592663417</f>
        <v>41.330659266341705</v>
      </c>
      <c r="E11" s="93">
        <f>100*0.00974976637939986</f>
        <v>0.97497663793998601</v>
      </c>
    </row>
    <row r="12" spans="3:5">
      <c r="C12" s="190" t="s">
        <v>105</v>
      </c>
      <c r="D12" s="93">
        <f>100*0.402932172625229</f>
        <v>40.293217262522901</v>
      </c>
      <c r="E12" s="93">
        <f>100*0.0167853653841344</f>
        <v>1.6785365384134401</v>
      </c>
    </row>
    <row r="13" spans="3:5">
      <c r="C13" s="190" t="s">
        <v>106</v>
      </c>
      <c r="D13" s="93">
        <f>100*0.389260621876008</f>
        <v>38.926062187600799</v>
      </c>
      <c r="E13" s="93">
        <f>100*0.0937513215763877</f>
        <v>9.3751321576387703</v>
      </c>
    </row>
    <row r="14" spans="3:5">
      <c r="C14" s="133" t="s">
        <v>8</v>
      </c>
      <c r="D14" s="91">
        <f>100*0.379853984282809</f>
        <v>37.985398428280895</v>
      </c>
      <c r="E14" s="91">
        <v>100</v>
      </c>
    </row>
    <row r="15" spans="3:5">
      <c r="C15" s="190" t="s">
        <v>107</v>
      </c>
      <c r="D15" s="93">
        <f>100*0.355318005656357</f>
        <v>35.531800565635699</v>
      </c>
      <c r="E15" s="93">
        <f>100*0.122144959213974</f>
        <v>12.2144959213974</v>
      </c>
    </row>
    <row r="16" spans="3:5" ht="24.75">
      <c r="C16" s="190" t="s">
        <v>108</v>
      </c>
      <c r="D16" s="93">
        <f>100*0.342418617204099</f>
        <v>34.241861720409901</v>
      </c>
      <c r="E16" s="93">
        <f>100*0.29261190483589</f>
        <v>29.261190483589001</v>
      </c>
    </row>
    <row r="17" spans="3:5" ht="24.75">
      <c r="C17" s="190" t="s">
        <v>109</v>
      </c>
      <c r="D17" s="93">
        <f>100*0.331158318206348</f>
        <v>33.115831820634803</v>
      </c>
      <c r="E17" s="93">
        <f>100*0.00308962770008951</f>
        <v>0.308962770008951</v>
      </c>
    </row>
    <row r="18" spans="3:5" ht="24.75">
      <c r="C18" s="190" t="s">
        <v>110</v>
      </c>
      <c r="D18" s="93">
        <f>100*0.328505366023907</f>
        <v>32.850536602390704</v>
      </c>
      <c r="E18" s="93">
        <f>100*0.00347448590204836</f>
        <v>0.34744859020483598</v>
      </c>
    </row>
    <row r="19" spans="3:5">
      <c r="C19" s="190" t="s">
        <v>111</v>
      </c>
      <c r="D19" s="93">
        <f>100*0.313251336209672</f>
        <v>31.3251336209672</v>
      </c>
      <c r="E19" s="93">
        <f>100*0.117693245730977</f>
        <v>11.7693245730977</v>
      </c>
    </row>
    <row r="20" spans="3:5">
      <c r="C20" s="190" t="s">
        <v>112</v>
      </c>
      <c r="D20" s="93">
        <f>100*0.102409638554217</f>
        <v>10.2409638554217</v>
      </c>
      <c r="E20" s="96">
        <f>100*0.0000125810282641137</f>
        <v>1.25810282641137E-3</v>
      </c>
    </row>
    <row r="21" spans="3:5" ht="38.25" customHeight="1">
      <c r="C21" s="396" t="s">
        <v>544</v>
      </c>
      <c r="D21" s="396"/>
      <c r="E21" s="396"/>
    </row>
    <row r="22" spans="3:5" ht="104.25" customHeight="1">
      <c r="C22" s="392" t="s">
        <v>551</v>
      </c>
      <c r="D22" s="392"/>
      <c r="E22" s="392"/>
    </row>
    <row r="23" spans="3:5">
      <c r="C23" s="393"/>
      <c r="D23" s="393"/>
      <c r="E23" s="393"/>
    </row>
    <row r="24" spans="3:5">
      <c r="C24" s="393"/>
      <c r="D24" s="393"/>
      <c r="E24" s="393"/>
    </row>
  </sheetData>
  <mergeCells count="4">
    <mergeCell ref="C22:E22"/>
    <mergeCell ref="C23:E24"/>
    <mergeCell ref="C1:E2"/>
    <mergeCell ref="C21:E21"/>
  </mergeCell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4AA26-6CC7-42AA-8A57-2C29B6D5644C}">
  <sheetPr>
    <tabColor rgb="FF92D050"/>
  </sheetPr>
  <dimension ref="B2:AMB11"/>
  <sheetViews>
    <sheetView showGridLines="0" zoomScaleNormal="100" workbookViewId="0">
      <selection activeCell="I3" sqref="I3"/>
    </sheetView>
  </sheetViews>
  <sheetFormatPr defaultColWidth="11.85546875" defaultRowHeight="15" customHeight="1"/>
  <cols>
    <col min="1" max="1" width="11.85546875" style="19"/>
    <col min="2" max="2" width="14.28515625" style="17" customWidth="1"/>
    <col min="3" max="3" width="10.28515625" style="17" bestFit="1" customWidth="1"/>
    <col min="4" max="4" width="7.85546875" style="17" customWidth="1"/>
    <col min="5" max="5" width="10.28515625" style="17" bestFit="1" customWidth="1"/>
    <col min="6" max="6" width="8" style="17" customWidth="1"/>
    <col min="7" max="1016" width="11.85546875" style="17"/>
    <col min="1017" max="16384" width="11.85546875" style="19"/>
  </cols>
  <sheetData>
    <row r="2" spans="2:6" ht="26.25" customHeight="1">
      <c r="B2" s="399" t="s">
        <v>113</v>
      </c>
      <c r="C2" s="399"/>
      <c r="D2" s="399"/>
      <c r="E2" s="399"/>
      <c r="F2" s="399"/>
    </row>
    <row r="3" spans="2:6" ht="32.25" customHeight="1">
      <c r="B3" s="381" t="s">
        <v>114</v>
      </c>
      <c r="C3" s="380" t="s">
        <v>115</v>
      </c>
      <c r="D3" s="400"/>
      <c r="E3" s="401" t="s">
        <v>116</v>
      </c>
      <c r="F3" s="380"/>
    </row>
    <row r="4" spans="2:6" ht="23.25" customHeight="1">
      <c r="B4" s="381"/>
      <c r="C4" s="302" t="s">
        <v>6</v>
      </c>
      <c r="D4" s="301" t="s">
        <v>117</v>
      </c>
      <c r="E4" s="302" t="s">
        <v>6</v>
      </c>
      <c r="F4" s="283" t="s">
        <v>118</v>
      </c>
    </row>
    <row r="5" spans="2:6" s="18" customFormat="1" ht="10.5" customHeight="1">
      <c r="B5" s="305" t="s">
        <v>8</v>
      </c>
      <c r="C5" s="284">
        <f>SUM(C7:C8)</f>
        <v>13194470</v>
      </c>
      <c r="D5" s="300">
        <f>C5/$C$5*100</f>
        <v>100</v>
      </c>
      <c r="E5" s="299">
        <v>47616457</v>
      </c>
      <c r="F5" s="298">
        <v>100</v>
      </c>
    </row>
    <row r="6" spans="2:6" s="18" customFormat="1" ht="12" customHeight="1">
      <c r="B6" s="306" t="s">
        <v>114</v>
      </c>
      <c r="C6" s="297"/>
      <c r="D6" s="297"/>
      <c r="E6" s="297"/>
      <c r="F6" s="297"/>
    </row>
    <row r="7" spans="2:6" s="17" customFormat="1" ht="15" customHeight="1">
      <c r="B7" s="296" t="s">
        <v>119</v>
      </c>
      <c r="C7" s="285">
        <v>7029736</v>
      </c>
      <c r="D7" s="295">
        <f>C7/$C$5*100</f>
        <v>53.277895967022545</v>
      </c>
      <c r="E7" s="285">
        <v>26258343</v>
      </c>
      <c r="F7" s="295">
        <v>55.1455203817453</v>
      </c>
    </row>
    <row r="8" spans="2:6" s="17" customFormat="1" ht="15" customHeight="1">
      <c r="B8" s="327" t="s">
        <v>120</v>
      </c>
      <c r="C8" s="328">
        <v>6164734</v>
      </c>
      <c r="D8" s="329">
        <f>C8/$C$5*100</f>
        <v>46.722104032977455</v>
      </c>
      <c r="E8" s="328">
        <v>21358114</v>
      </c>
      <c r="F8" s="329">
        <v>44.8544796182547</v>
      </c>
    </row>
    <row r="9" spans="2:6" s="17" customFormat="1" ht="36" customHeight="1">
      <c r="B9" s="398" t="s">
        <v>544</v>
      </c>
      <c r="C9" s="398"/>
      <c r="D9" s="398"/>
      <c r="E9" s="398"/>
      <c r="F9" s="398"/>
    </row>
    <row r="10" spans="2:6" s="17" customFormat="1" ht="29.25" customHeight="1">
      <c r="B10" s="402" t="s">
        <v>548</v>
      </c>
      <c r="C10" s="402"/>
      <c r="D10" s="402"/>
      <c r="E10" s="402"/>
      <c r="F10" s="402"/>
    </row>
    <row r="11" spans="2:6" s="17" customFormat="1" ht="47.25" customHeight="1">
      <c r="B11" s="397"/>
      <c r="C11" s="397"/>
      <c r="D11" s="397"/>
      <c r="E11" s="397"/>
      <c r="F11" s="397"/>
    </row>
  </sheetData>
  <mergeCells count="7">
    <mergeCell ref="B11:F11"/>
    <mergeCell ref="B9:F9"/>
    <mergeCell ref="B2:F2"/>
    <mergeCell ref="B3:B4"/>
    <mergeCell ref="C3:D3"/>
    <mergeCell ref="E3:F3"/>
    <mergeCell ref="B10:F10"/>
  </mergeCells>
  <pageMargins left="1.37777777777778" right="1.37777777777778" top="1.37777777777778" bottom="1.0236111111111099" header="0.511811023622047" footer="0.511811023622047"/>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4C8AC-01B7-4A2E-AD30-FAEA843B2D62}">
  <sheetPr>
    <tabColor rgb="FF92D050"/>
  </sheetPr>
  <dimension ref="A1:F29"/>
  <sheetViews>
    <sheetView showGridLines="0" workbookViewId="0">
      <selection activeCell="I3" sqref="I3"/>
    </sheetView>
  </sheetViews>
  <sheetFormatPr defaultRowHeight="15"/>
  <cols>
    <col min="2" max="2" width="21.5703125" customWidth="1"/>
    <col min="3" max="3" width="9.7109375" customWidth="1"/>
    <col min="4" max="4" width="10.5703125" customWidth="1"/>
    <col min="5" max="5" width="11.85546875" customWidth="1"/>
  </cols>
  <sheetData>
    <row r="1" spans="1:6" ht="22.5" customHeight="1">
      <c r="A1" s="13"/>
      <c r="B1" s="403" t="s">
        <v>121</v>
      </c>
      <c r="C1" s="403"/>
      <c r="D1" s="403"/>
      <c r="E1" s="403"/>
      <c r="F1" s="13"/>
    </row>
    <row r="2" spans="1:6" ht="16.5" customHeight="1">
      <c r="A2" s="13"/>
      <c r="B2" s="403"/>
      <c r="C2" s="403"/>
      <c r="D2" s="403"/>
      <c r="E2" s="403"/>
      <c r="F2" s="13"/>
    </row>
    <row r="3" spans="1:6" ht="15.75" customHeight="1">
      <c r="A3" s="13"/>
      <c r="B3" s="191"/>
      <c r="C3" s="192"/>
      <c r="D3" s="191"/>
      <c r="E3" s="191"/>
      <c r="F3" s="13"/>
    </row>
    <row r="4" spans="1:6" ht="15" customHeight="1">
      <c r="A4" s="13"/>
      <c r="B4" s="407" t="s">
        <v>535</v>
      </c>
      <c r="C4" s="404" t="s">
        <v>8</v>
      </c>
      <c r="D4" s="406" t="s">
        <v>114</v>
      </c>
      <c r="E4" s="406"/>
      <c r="F4" s="13"/>
    </row>
    <row r="5" spans="1:6">
      <c r="A5" s="13"/>
      <c r="B5" s="407"/>
      <c r="C5" s="404"/>
      <c r="D5" s="194" t="s">
        <v>124</v>
      </c>
      <c r="E5" s="193" t="s">
        <v>125</v>
      </c>
      <c r="F5" s="13"/>
    </row>
    <row r="6" spans="1:6">
      <c r="A6" s="13"/>
      <c r="B6" s="288" t="s">
        <v>8</v>
      </c>
      <c r="C6" s="195">
        <v>100</v>
      </c>
      <c r="D6" s="196">
        <v>100</v>
      </c>
      <c r="E6" s="196">
        <v>100</v>
      </c>
      <c r="F6" s="13"/>
    </row>
    <row r="7" spans="1:6">
      <c r="A7" s="13"/>
      <c r="B7" s="289" t="s">
        <v>123</v>
      </c>
      <c r="C7" s="197">
        <v>21.994911504592455</v>
      </c>
      <c r="D7" s="197">
        <v>22.361920845960643</v>
      </c>
      <c r="E7" s="197">
        <v>21.57640540532649</v>
      </c>
      <c r="F7" s="13"/>
    </row>
    <row r="8" spans="1:6">
      <c r="A8" s="13"/>
      <c r="B8" s="289" t="s">
        <v>127</v>
      </c>
      <c r="C8" s="197">
        <v>30.256425608607241</v>
      </c>
      <c r="D8" s="197">
        <v>30.430858285432056</v>
      </c>
      <c r="E8" s="198">
        <v>30.057517485750399</v>
      </c>
      <c r="F8" s="13"/>
    </row>
    <row r="9" spans="1:6">
      <c r="A9" s="13"/>
      <c r="B9" s="289" t="s">
        <v>128</v>
      </c>
      <c r="C9" s="197">
        <v>24.453600637236661</v>
      </c>
      <c r="D9" s="197">
        <v>24.333559610204421</v>
      </c>
      <c r="E9" s="198">
        <v>24.590485169351993</v>
      </c>
      <c r="F9" s="13"/>
    </row>
    <row r="10" spans="1:6">
      <c r="A10" s="13"/>
      <c r="B10" s="290" t="s">
        <v>126</v>
      </c>
      <c r="C10" s="199">
        <v>23.295062249563642</v>
      </c>
      <c r="D10" s="199">
        <v>22.873661258402876</v>
      </c>
      <c r="E10" s="200">
        <v>23.775591939571115</v>
      </c>
      <c r="F10" s="13"/>
    </row>
    <row r="11" spans="1:6" ht="20.25" customHeight="1">
      <c r="A11" s="13"/>
      <c r="B11" s="201" t="s">
        <v>129</v>
      </c>
      <c r="C11" s="293">
        <v>40.700000000000003</v>
      </c>
      <c r="D11" s="293">
        <v>40.6</v>
      </c>
      <c r="E11" s="202">
        <v>40.799999999999997</v>
      </c>
      <c r="F11" s="13"/>
    </row>
    <row r="12" spans="1:6" ht="39" customHeight="1">
      <c r="A12" s="13"/>
      <c r="B12" s="408" t="s">
        <v>544</v>
      </c>
      <c r="C12" s="408"/>
      <c r="D12" s="408"/>
      <c r="E12" s="408"/>
      <c r="F12" s="13"/>
    </row>
    <row r="13" spans="1:6" ht="23.25" customHeight="1">
      <c r="A13" s="13"/>
      <c r="B13" s="405" t="s">
        <v>548</v>
      </c>
      <c r="C13" s="405"/>
      <c r="D13" s="405"/>
      <c r="E13" s="405"/>
      <c r="F13" s="13"/>
    </row>
    <row r="14" spans="1:6" ht="19.5" customHeight="1">
      <c r="A14" s="13"/>
      <c r="B14" s="405"/>
      <c r="C14" s="405"/>
      <c r="D14" s="405"/>
      <c r="E14" s="405"/>
      <c r="F14" s="13"/>
    </row>
    <row r="15" spans="1:6">
      <c r="A15" s="13"/>
      <c r="B15" s="20"/>
      <c r="C15" s="13"/>
      <c r="D15" s="21"/>
      <c r="E15" s="22"/>
      <c r="F15" s="13"/>
    </row>
    <row r="16" spans="1:6">
      <c r="A16" s="13"/>
      <c r="B16" s="20"/>
      <c r="C16" s="13"/>
      <c r="D16" s="21"/>
      <c r="E16" s="22"/>
      <c r="F16" s="13"/>
    </row>
    <row r="17" spans="1:6">
      <c r="A17" s="13"/>
      <c r="B17" s="20"/>
      <c r="C17" s="13"/>
      <c r="D17" s="21"/>
      <c r="E17" s="22"/>
      <c r="F17" s="13"/>
    </row>
    <row r="18" spans="1:6">
      <c r="A18" s="13"/>
      <c r="B18" s="20"/>
      <c r="C18" s="13"/>
      <c r="D18" s="21"/>
      <c r="E18" s="22"/>
      <c r="F18" s="13"/>
    </row>
    <row r="19" spans="1:6">
      <c r="A19" s="13"/>
      <c r="B19" s="20"/>
      <c r="C19" s="13"/>
      <c r="D19" s="21"/>
      <c r="E19" s="22"/>
      <c r="F19" s="13"/>
    </row>
    <row r="20" spans="1:6">
      <c r="A20" s="13"/>
      <c r="B20" s="20"/>
      <c r="C20" s="13"/>
      <c r="D20" s="21"/>
      <c r="E20" s="22"/>
      <c r="F20" s="13"/>
    </row>
    <row r="21" spans="1:6">
      <c r="A21" s="13"/>
      <c r="B21" s="20"/>
      <c r="C21" s="13"/>
      <c r="D21" s="21"/>
      <c r="E21" s="22"/>
      <c r="F21" s="13"/>
    </row>
    <row r="22" spans="1:6">
      <c r="A22" s="13"/>
      <c r="B22" s="20"/>
      <c r="C22" s="13"/>
      <c r="D22" s="21"/>
      <c r="E22" s="22"/>
      <c r="F22" s="13"/>
    </row>
    <row r="23" spans="1:6">
      <c r="A23" s="13"/>
      <c r="B23" s="20"/>
      <c r="C23" s="13"/>
      <c r="D23" s="21"/>
      <c r="E23" s="22"/>
      <c r="F23" s="13"/>
    </row>
    <row r="24" spans="1:6">
      <c r="A24" s="13"/>
      <c r="B24" s="20"/>
      <c r="C24" s="13"/>
      <c r="D24" s="21"/>
      <c r="E24" s="22"/>
      <c r="F24" s="13"/>
    </row>
    <row r="25" spans="1:6">
      <c r="A25" s="13"/>
      <c r="B25" s="20"/>
      <c r="C25" s="13"/>
      <c r="D25" s="21"/>
      <c r="E25" s="22"/>
      <c r="F25" s="13"/>
    </row>
    <row r="26" spans="1:6">
      <c r="A26" s="13"/>
      <c r="B26" s="20"/>
      <c r="C26" s="13"/>
      <c r="D26" s="21"/>
      <c r="E26" s="22"/>
      <c r="F26" s="13"/>
    </row>
    <row r="27" spans="1:6">
      <c r="A27" s="13"/>
      <c r="B27" s="20"/>
      <c r="C27" s="13"/>
      <c r="D27" s="21"/>
      <c r="E27" s="22"/>
      <c r="F27" s="13"/>
    </row>
    <row r="28" spans="1:6">
      <c r="A28" s="13"/>
      <c r="C28" s="13"/>
      <c r="F28" s="13"/>
    </row>
    <row r="29" spans="1:6">
      <c r="A29" s="13"/>
      <c r="B29" s="13"/>
      <c r="C29" s="13"/>
      <c r="D29" s="13"/>
      <c r="E29" s="13"/>
      <c r="F29" s="13"/>
    </row>
  </sheetData>
  <mergeCells count="7">
    <mergeCell ref="B1:E2"/>
    <mergeCell ref="C4:C5"/>
    <mergeCell ref="B14:E14"/>
    <mergeCell ref="D4:E4"/>
    <mergeCell ref="B4:B5"/>
    <mergeCell ref="B12:E12"/>
    <mergeCell ref="B13:E13"/>
  </mergeCells>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27F98-DA4D-452E-81B6-2900847F17C1}">
  <sheetPr>
    <tabColor rgb="FF92D050"/>
  </sheetPr>
  <dimension ref="B1:E22"/>
  <sheetViews>
    <sheetView showGridLines="0" topLeftCell="A4" zoomScaleNormal="100" workbookViewId="0">
      <selection activeCell="H4" sqref="H4"/>
    </sheetView>
  </sheetViews>
  <sheetFormatPr defaultRowHeight="12.75"/>
  <cols>
    <col min="1" max="1" width="9.140625" style="23"/>
    <col min="2" max="2" width="14.5703125" style="23" customWidth="1"/>
    <col min="3" max="3" width="10.28515625" style="23" bestFit="1" customWidth="1"/>
    <col min="4" max="4" width="7.5703125" style="23" customWidth="1"/>
    <col min="5" max="5" width="10" style="23" customWidth="1"/>
    <col min="6" max="16384" width="9.140625" style="23"/>
  </cols>
  <sheetData>
    <row r="1" spans="2:5" ht="15" customHeight="1">
      <c r="B1" s="409" t="s">
        <v>130</v>
      </c>
      <c r="C1" s="409"/>
      <c r="D1" s="409"/>
      <c r="E1" s="409"/>
    </row>
    <row r="2" spans="2:5">
      <c r="B2" s="409"/>
      <c r="C2" s="409"/>
      <c r="D2" s="409"/>
      <c r="E2" s="409"/>
    </row>
    <row r="3" spans="2:5">
      <c r="B3" s="410"/>
      <c r="C3" s="410"/>
      <c r="D3" s="410"/>
      <c r="E3" s="410"/>
    </row>
    <row r="4" spans="2:5" ht="31.5" customHeight="1">
      <c r="B4" s="412" t="s">
        <v>131</v>
      </c>
      <c r="C4" s="414" t="s">
        <v>6</v>
      </c>
      <c r="D4" s="416" t="s">
        <v>7</v>
      </c>
      <c r="E4" s="417"/>
    </row>
    <row r="5" spans="2:5" ht="31.5" customHeight="1">
      <c r="B5" s="413"/>
      <c r="C5" s="415"/>
      <c r="D5" s="204" t="s">
        <v>8</v>
      </c>
      <c r="E5" s="203" t="s">
        <v>132</v>
      </c>
    </row>
    <row r="6" spans="2:5">
      <c r="B6" s="205" t="s">
        <v>8</v>
      </c>
      <c r="C6" s="206">
        <f>C7+C8</f>
        <v>13194470</v>
      </c>
      <c r="D6" s="207">
        <f>(C6/C$6)*100</f>
        <v>100</v>
      </c>
      <c r="E6" s="136" t="s">
        <v>65</v>
      </c>
    </row>
    <row r="7" spans="2:5">
      <c r="B7" s="208" t="s">
        <v>133</v>
      </c>
      <c r="C7" s="206">
        <v>13121209</v>
      </c>
      <c r="D7" s="207">
        <f>(C7/C$6)*100</f>
        <v>99.444759812254674</v>
      </c>
      <c r="E7" s="136" t="s">
        <v>65</v>
      </c>
    </row>
    <row r="8" spans="2:5">
      <c r="B8" s="208" t="s">
        <v>134</v>
      </c>
      <c r="C8" s="206">
        <f>SUM(C9:C19)</f>
        <v>73261</v>
      </c>
      <c r="D8" s="207">
        <f>(C8/C$6)*100</f>
        <v>0.55524018774532058</v>
      </c>
      <c r="E8" s="207">
        <f>(C8/C$8)*100</f>
        <v>100</v>
      </c>
    </row>
    <row r="9" spans="2:5">
      <c r="B9" s="209" t="s">
        <v>135</v>
      </c>
      <c r="C9" s="140">
        <v>11725</v>
      </c>
      <c r="D9" s="210">
        <f t="shared" ref="D9:D19" si="0">(C9/C$6)*100</f>
        <v>8.8862985781164375E-2</v>
      </c>
      <c r="E9" s="210">
        <f>(C9/C$8)*100</f>
        <v>16.004422544054815</v>
      </c>
    </row>
    <row r="10" spans="2:5">
      <c r="B10" s="209" t="s">
        <v>136</v>
      </c>
      <c r="C10" s="140">
        <v>6141</v>
      </c>
      <c r="D10" s="210">
        <f t="shared" si="0"/>
        <v>4.6542225644531379E-2</v>
      </c>
      <c r="E10" s="210">
        <f>(C10/C$8)*100</f>
        <v>8.3823589631591151</v>
      </c>
    </row>
    <row r="11" spans="2:5">
      <c r="B11" s="209" t="s">
        <v>137</v>
      </c>
      <c r="C11" s="140">
        <v>5524</v>
      </c>
      <c r="D11" s="210">
        <f t="shared" si="0"/>
        <v>4.1866024175279494E-2</v>
      </c>
      <c r="E11" s="210">
        <f t="shared" ref="E11:E15" si="1">(C11/C$8)*100</f>
        <v>7.5401646169175951</v>
      </c>
    </row>
    <row r="12" spans="2:5">
      <c r="B12" s="209" t="s">
        <v>138</v>
      </c>
      <c r="C12" s="140">
        <v>5493</v>
      </c>
      <c r="D12" s="210">
        <f t="shared" si="0"/>
        <v>4.1631077261913514E-2</v>
      </c>
      <c r="E12" s="210">
        <f t="shared" si="1"/>
        <v>7.4978501521955749</v>
      </c>
    </row>
    <row r="13" spans="2:5">
      <c r="B13" s="209" t="s">
        <v>139</v>
      </c>
      <c r="C13" s="140">
        <v>3920</v>
      </c>
      <c r="D13" s="210">
        <f t="shared" si="0"/>
        <v>2.970941614176242E-2</v>
      </c>
      <c r="E13" s="210">
        <f t="shared" si="1"/>
        <v>5.3507323132362377</v>
      </c>
    </row>
    <row r="14" spans="2:5">
      <c r="B14" s="209" t="s">
        <v>140</v>
      </c>
      <c r="C14" s="140">
        <v>3586</v>
      </c>
      <c r="D14" s="210">
        <f t="shared" si="0"/>
        <v>2.7178052623561232E-2</v>
      </c>
      <c r="E14" s="210">
        <f t="shared" si="1"/>
        <v>4.8948280804247828</v>
      </c>
    </row>
    <row r="15" spans="2:5">
      <c r="B15" s="209" t="s">
        <v>141</v>
      </c>
      <c r="C15" s="140">
        <v>3546</v>
      </c>
      <c r="D15" s="210">
        <f t="shared" si="0"/>
        <v>2.6874895315992232E-2</v>
      </c>
      <c r="E15" s="210">
        <f t="shared" si="1"/>
        <v>4.8402287711060454</v>
      </c>
    </row>
    <row r="16" spans="2:5">
      <c r="B16" s="209" t="s">
        <v>142</v>
      </c>
      <c r="C16" s="140">
        <v>3483</v>
      </c>
      <c r="D16" s="210">
        <f t="shared" si="0"/>
        <v>2.6397422556571046E-2</v>
      </c>
      <c r="E16" s="210">
        <f>(C16/C$8)*100</f>
        <v>4.754234858929034</v>
      </c>
    </row>
    <row r="17" spans="2:5">
      <c r="B17" s="209" t="s">
        <v>143</v>
      </c>
      <c r="C17" s="140">
        <v>3313</v>
      </c>
      <c r="D17" s="210">
        <f t="shared" si="0"/>
        <v>2.5109003999402781E-2</v>
      </c>
      <c r="E17" s="210">
        <f>(C17/C$8)*100</f>
        <v>4.5221877943244015</v>
      </c>
    </row>
    <row r="18" spans="2:5">
      <c r="B18" s="209" t="s">
        <v>144</v>
      </c>
      <c r="C18" s="140">
        <v>2415</v>
      </c>
      <c r="D18" s="210">
        <f t="shared" si="0"/>
        <v>1.8303122444478633E-2</v>
      </c>
      <c r="E18" s="210">
        <f>(C18/C$8)*100</f>
        <v>3.2964333001187534</v>
      </c>
    </row>
    <row r="19" spans="2:5">
      <c r="B19" s="211" t="s">
        <v>145</v>
      </c>
      <c r="C19" s="145">
        <v>24115</v>
      </c>
      <c r="D19" s="212">
        <f t="shared" si="0"/>
        <v>0.18276596180066346</v>
      </c>
      <c r="E19" s="212">
        <f t="shared" ref="E19" si="2">(C19/C$8)*100</f>
        <v>32.916558605533638</v>
      </c>
    </row>
    <row r="20" spans="2:5" ht="5.25" customHeight="1"/>
    <row r="21" spans="2:5" s="341" customFormat="1" ht="49.5" customHeight="1">
      <c r="B21" s="375" t="s">
        <v>544</v>
      </c>
      <c r="C21" s="375"/>
      <c r="D21" s="375"/>
      <c r="E21" s="375"/>
    </row>
    <row r="22" spans="2:5" ht="23.25" customHeight="1">
      <c r="B22" s="411" t="s">
        <v>548</v>
      </c>
      <c r="C22" s="411"/>
      <c r="D22" s="411"/>
      <c r="E22" s="411"/>
    </row>
  </sheetData>
  <mergeCells count="6">
    <mergeCell ref="B1:E3"/>
    <mergeCell ref="B22:E22"/>
    <mergeCell ref="B21:E21"/>
    <mergeCell ref="B4:B5"/>
    <mergeCell ref="C4:C5"/>
    <mergeCell ref="D4:E4"/>
  </mergeCells>
  <pageMargins left="0.511811024" right="0.511811024" top="0.78740157499999996" bottom="0.78740157499999996" header="0.31496062000000002" footer="0.31496062000000002"/>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8A576-8E4A-46CF-AA4C-D6EFE347D497}">
  <sheetPr>
    <tabColor rgb="FF92D050"/>
  </sheetPr>
  <dimension ref="B2:K24"/>
  <sheetViews>
    <sheetView showGridLines="0" zoomScale="110" zoomScaleNormal="110" workbookViewId="0"/>
  </sheetViews>
  <sheetFormatPr defaultRowHeight="15" customHeight="1"/>
  <cols>
    <col min="1" max="1" width="1.85546875" style="43" customWidth="1"/>
    <col min="2" max="2" width="16.85546875" style="43" customWidth="1"/>
    <col min="3" max="3" width="10.28515625" style="43" bestFit="1" customWidth="1"/>
    <col min="4" max="4" width="6.140625" style="43" bestFit="1" customWidth="1"/>
    <col min="5" max="5" width="7" style="43" customWidth="1"/>
    <col min="6" max="6" width="9.42578125" style="43" bestFit="1" customWidth="1"/>
    <col min="7" max="7" width="6" style="43" customWidth="1"/>
    <col min="8" max="8" width="7.28515625" style="43" customWidth="1"/>
    <col min="9" max="9" width="9.28515625" style="43" bestFit="1" customWidth="1"/>
    <col min="10" max="10" width="6.28515625" style="43" customWidth="1"/>
    <col min="11" max="11" width="6.7109375" style="43" customWidth="1"/>
    <col min="12" max="12" width="9.140625" style="43"/>
    <col min="13" max="13" width="10.28515625" style="43" bestFit="1" customWidth="1"/>
    <col min="14" max="16384" width="9.140625" style="43"/>
  </cols>
  <sheetData>
    <row r="2" spans="2:11" ht="14.45" customHeight="1">
      <c r="B2" s="425" t="s">
        <v>146</v>
      </c>
      <c r="C2" s="425"/>
      <c r="D2" s="425"/>
      <c r="E2" s="425"/>
      <c r="F2" s="425"/>
      <c r="G2" s="425"/>
      <c r="H2" s="425"/>
      <c r="I2" s="425"/>
      <c r="J2" s="425"/>
      <c r="K2" s="425"/>
    </row>
    <row r="3" spans="2:11" ht="14.25">
      <c r="B3" s="426"/>
      <c r="C3" s="426"/>
      <c r="D3" s="426"/>
      <c r="E3" s="426"/>
      <c r="F3" s="426"/>
      <c r="G3" s="426"/>
      <c r="H3" s="426"/>
      <c r="I3" s="426"/>
      <c r="J3" s="426"/>
      <c r="K3" s="426"/>
    </row>
    <row r="4" spans="2:11" ht="13.5" customHeight="1">
      <c r="B4" s="427" t="s">
        <v>147</v>
      </c>
      <c r="C4" s="371" t="s">
        <v>40</v>
      </c>
      <c r="D4" s="430"/>
      <c r="E4" s="430"/>
      <c r="F4" s="430"/>
      <c r="G4" s="430"/>
      <c r="H4" s="430"/>
      <c r="I4" s="430"/>
      <c r="J4" s="430"/>
      <c r="K4" s="430"/>
    </row>
    <row r="5" spans="2:11" ht="12.75" customHeight="1">
      <c r="B5" s="428"/>
      <c r="C5" s="371" t="s">
        <v>8</v>
      </c>
      <c r="D5" s="430"/>
      <c r="E5" s="372"/>
      <c r="F5" s="371" t="s">
        <v>124</v>
      </c>
      <c r="G5" s="430"/>
      <c r="H5" s="372"/>
      <c r="I5" s="431" t="s">
        <v>125</v>
      </c>
      <c r="J5" s="371"/>
      <c r="K5" s="371"/>
    </row>
    <row r="6" spans="2:11" ht="14.25">
      <c r="B6" s="428"/>
      <c r="C6" s="432" t="s">
        <v>6</v>
      </c>
      <c r="D6" s="369" t="s">
        <v>7</v>
      </c>
      <c r="E6" s="370"/>
      <c r="F6" s="433" t="s">
        <v>6</v>
      </c>
      <c r="G6" s="369" t="s">
        <v>7</v>
      </c>
      <c r="H6" s="370"/>
      <c r="I6" s="421" t="s">
        <v>6</v>
      </c>
      <c r="J6" s="423" t="s">
        <v>7</v>
      </c>
      <c r="K6" s="423"/>
    </row>
    <row r="7" spans="2:11" s="52" customFormat="1" ht="48" customHeight="1">
      <c r="B7" s="429"/>
      <c r="C7" s="422"/>
      <c r="D7" s="134" t="s">
        <v>148</v>
      </c>
      <c r="E7" s="87" t="s">
        <v>541</v>
      </c>
      <c r="F7" s="434"/>
      <c r="G7" s="134" t="s">
        <v>148</v>
      </c>
      <c r="H7" s="87" t="s">
        <v>542</v>
      </c>
      <c r="I7" s="422"/>
      <c r="J7" s="134" t="s">
        <v>8</v>
      </c>
      <c r="K7" s="107" t="s">
        <v>541</v>
      </c>
    </row>
    <row r="8" spans="2:11" ht="14.25">
      <c r="B8" s="110" t="s">
        <v>8</v>
      </c>
      <c r="C8" s="132">
        <f>SUM(C9:C15)</f>
        <v>13194470</v>
      </c>
      <c r="D8" s="111">
        <f t="shared" ref="D8:D15" si="0">C8/C$8*100</f>
        <v>100</v>
      </c>
      <c r="E8" s="111" t="s">
        <v>65</v>
      </c>
      <c r="F8" s="213">
        <f>SUM(F9:F15)</f>
        <v>7029736</v>
      </c>
      <c r="G8" s="214">
        <f>F8/F$8*100</f>
        <v>100</v>
      </c>
      <c r="H8" s="111" t="s">
        <v>65</v>
      </c>
      <c r="I8" s="132">
        <f>SUM(I9:I15)</f>
        <v>6164734</v>
      </c>
      <c r="J8" s="111">
        <f t="shared" ref="J8:J15" si="1">I8/I$8*100</f>
        <v>100</v>
      </c>
      <c r="K8" s="111" t="s">
        <v>65</v>
      </c>
    </row>
    <row r="9" spans="2:11" ht="14.25">
      <c r="B9" s="190" t="s">
        <v>151</v>
      </c>
      <c r="C9" s="112">
        <v>4400526</v>
      </c>
      <c r="D9" s="113">
        <f t="shared" si="0"/>
        <v>33.351290351185</v>
      </c>
      <c r="E9" s="113">
        <f t="shared" ref="E9:E14" si="2">C9/(C$8-C$15)*100</f>
        <v>47.615222368429166</v>
      </c>
      <c r="F9" s="112">
        <v>2384517</v>
      </c>
      <c r="G9" s="113">
        <f t="shared" ref="G9:G15" si="3">F9/F$8*100</f>
        <v>33.920434565394771</v>
      </c>
      <c r="H9" s="113">
        <f t="shared" ref="H9:H14" si="4">F9/(F$8-F$15)*100</f>
        <v>45.369888004055007</v>
      </c>
      <c r="I9" s="112">
        <v>2016009</v>
      </c>
      <c r="J9" s="113">
        <f t="shared" si="1"/>
        <v>32.702286911324968</v>
      </c>
      <c r="K9" s="113">
        <f t="shared" ref="K9:K14" si="5">I9/(I$8-I$15)*100</f>
        <v>50.575710070015433</v>
      </c>
    </row>
    <row r="10" spans="2:11" ht="14.25">
      <c r="B10" s="190" t="s">
        <v>152</v>
      </c>
      <c r="C10" s="112">
        <v>440725</v>
      </c>
      <c r="D10" s="113">
        <f t="shared" si="0"/>
        <v>3.3402251094587352</v>
      </c>
      <c r="E10" s="113">
        <f t="shared" si="2"/>
        <v>4.7687978387869876</v>
      </c>
      <c r="F10" s="112">
        <v>277025</v>
      </c>
      <c r="G10" s="113">
        <f t="shared" si="3"/>
        <v>3.9407596529940809</v>
      </c>
      <c r="H10" s="113">
        <f t="shared" si="4"/>
        <v>5.2709178522624658</v>
      </c>
      <c r="I10" s="112">
        <v>163700</v>
      </c>
      <c r="J10" s="113">
        <f t="shared" si="1"/>
        <v>2.6554268197135511</v>
      </c>
      <c r="K10" s="113">
        <f t="shared" si="5"/>
        <v>4.1067493937088209</v>
      </c>
    </row>
    <row r="11" spans="2:11" ht="14.25">
      <c r="B11" s="190" t="s">
        <v>153</v>
      </c>
      <c r="C11" s="112">
        <v>62735</v>
      </c>
      <c r="D11" s="113">
        <f t="shared" si="0"/>
        <v>0.47546434225853706</v>
      </c>
      <c r="E11" s="113">
        <f t="shared" si="2"/>
        <v>0.67881452700959022</v>
      </c>
      <c r="F11" s="112">
        <v>33435</v>
      </c>
      <c r="G11" s="113">
        <f t="shared" si="3"/>
        <v>0.47562241313187292</v>
      </c>
      <c r="H11" s="113">
        <f t="shared" si="4"/>
        <v>0.63616330075045768</v>
      </c>
      <c r="I11" s="112">
        <v>29300</v>
      </c>
      <c r="J11" s="113">
        <f t="shared" si="1"/>
        <v>0.47528409173858926</v>
      </c>
      <c r="K11" s="113">
        <f t="shared" si="5"/>
        <v>0.73505044126859165</v>
      </c>
    </row>
    <row r="12" spans="2:11" ht="14.25">
      <c r="B12" s="190" t="s">
        <v>154</v>
      </c>
      <c r="C12" s="112">
        <v>2866505</v>
      </c>
      <c r="D12" s="113">
        <f t="shared" si="0"/>
        <v>21.725048448327218</v>
      </c>
      <c r="E12" s="113">
        <f t="shared" si="2"/>
        <v>31.016581425769115</v>
      </c>
      <c r="F12" s="112">
        <v>1704450</v>
      </c>
      <c r="G12" s="113">
        <f t="shared" si="3"/>
        <v>24.246287485049226</v>
      </c>
      <c r="H12" s="113">
        <f t="shared" si="4"/>
        <v>32.43034359097107</v>
      </c>
      <c r="I12" s="112">
        <v>1162055</v>
      </c>
      <c r="J12" s="113">
        <f t="shared" si="1"/>
        <v>18.850042840453458</v>
      </c>
      <c r="K12" s="113">
        <f t="shared" si="5"/>
        <v>29.152526980490556</v>
      </c>
    </row>
    <row r="13" spans="2:11" ht="14.25">
      <c r="B13" s="190" t="s">
        <v>155</v>
      </c>
      <c r="C13" s="112">
        <v>18735</v>
      </c>
      <c r="D13" s="113">
        <f>C13/C$8*100</f>
        <v>0.14199130393263237</v>
      </c>
      <c r="E13" s="113">
        <f t="shared" si="2"/>
        <v>0.20271921835537851</v>
      </c>
      <c r="F13" s="112">
        <v>10536</v>
      </c>
      <c r="G13" s="113">
        <f>F13/F$8*100</f>
        <v>0.14987760564550362</v>
      </c>
      <c r="H13" s="113">
        <f t="shared" si="4"/>
        <v>0.20046707153302895</v>
      </c>
      <c r="I13" s="112">
        <v>8199</v>
      </c>
      <c r="J13" s="113">
        <f>I13/I$8*100</f>
        <v>0.13299843918650828</v>
      </c>
      <c r="K13" s="113">
        <f t="shared" si="5"/>
        <v>0.20568868832632026</v>
      </c>
    </row>
    <row r="14" spans="2:11" ht="15" customHeight="1">
      <c r="B14" s="190" t="s">
        <v>156</v>
      </c>
      <c r="C14" s="125">
        <v>1452621</v>
      </c>
      <c r="D14" s="126">
        <f t="shared" si="0"/>
        <v>11.009316781954864</v>
      </c>
      <c r="E14" s="126">
        <f t="shared" si="2"/>
        <v>15.717864621649763</v>
      </c>
      <c r="F14" s="125">
        <v>845763</v>
      </c>
      <c r="G14" s="126">
        <f t="shared" si="3"/>
        <v>12.031219949084859</v>
      </c>
      <c r="H14" s="126">
        <f t="shared" si="4"/>
        <v>16.092220180427972</v>
      </c>
      <c r="I14" s="125">
        <v>606858</v>
      </c>
      <c r="J14" s="126">
        <f t="shared" si="1"/>
        <v>9.8440257114094454</v>
      </c>
      <c r="K14" s="126">
        <f t="shared" si="5"/>
        <v>15.224274426190274</v>
      </c>
    </row>
    <row r="15" spans="2:11" ht="15" customHeight="1">
      <c r="B15" s="313" t="s">
        <v>157</v>
      </c>
      <c r="C15" s="307">
        <v>3952623</v>
      </c>
      <c r="D15" s="308">
        <f t="shared" si="0"/>
        <v>29.95666366288301</v>
      </c>
      <c r="E15" s="308" t="s">
        <v>65</v>
      </c>
      <c r="F15" s="307">
        <v>1774010</v>
      </c>
      <c r="G15" s="308">
        <f t="shared" si="3"/>
        <v>25.235798328699683</v>
      </c>
      <c r="H15" s="308" t="s">
        <v>65</v>
      </c>
      <c r="I15" s="307">
        <v>2178613</v>
      </c>
      <c r="J15" s="308">
        <f t="shared" si="1"/>
        <v>35.339935186173484</v>
      </c>
      <c r="K15" s="308" t="s">
        <v>65</v>
      </c>
    </row>
    <row r="16" spans="2:11" ht="10.5" customHeight="1">
      <c r="B16" s="110"/>
      <c r="C16" s="213"/>
      <c r="D16" s="214"/>
      <c r="E16" s="214"/>
      <c r="F16" s="213"/>
      <c r="G16" s="214"/>
      <c r="H16" s="214"/>
      <c r="I16" s="213"/>
      <c r="J16" s="214"/>
      <c r="K16" s="214"/>
    </row>
    <row r="17" spans="2:11" ht="24" customHeight="1">
      <c r="B17" s="424" t="s">
        <v>547</v>
      </c>
      <c r="C17" s="424"/>
      <c r="D17" s="424"/>
      <c r="E17" s="424"/>
      <c r="F17" s="424"/>
      <c r="G17" s="424"/>
      <c r="H17" s="424"/>
      <c r="I17" s="424"/>
      <c r="J17" s="424"/>
      <c r="K17" s="424"/>
    </row>
    <row r="18" spans="2:11" ht="13.5" customHeight="1">
      <c r="B18" s="424" t="s">
        <v>548</v>
      </c>
      <c r="C18" s="424"/>
      <c r="D18" s="424"/>
      <c r="E18" s="424"/>
      <c r="F18" s="424"/>
      <c r="G18" s="424"/>
      <c r="H18" s="424"/>
      <c r="I18" s="424"/>
      <c r="J18" s="424"/>
      <c r="K18" s="424"/>
    </row>
    <row r="19" spans="2:11" ht="36" customHeight="1">
      <c r="B19" s="424" t="s">
        <v>552</v>
      </c>
      <c r="C19" s="424"/>
      <c r="D19" s="424"/>
      <c r="E19" s="424"/>
      <c r="F19" s="424"/>
      <c r="G19" s="424"/>
      <c r="H19" s="424"/>
      <c r="I19" s="424"/>
      <c r="J19" s="424"/>
      <c r="K19" s="424"/>
    </row>
    <row r="20" spans="2:11" ht="21" customHeight="1">
      <c r="B20" s="418"/>
      <c r="C20" s="419"/>
      <c r="D20" s="419"/>
      <c r="E20" s="419"/>
      <c r="F20" s="419"/>
      <c r="G20" s="419"/>
      <c r="H20" s="419"/>
      <c r="I20" s="419"/>
      <c r="J20" s="419"/>
      <c r="K20" s="419"/>
    </row>
    <row r="21" spans="2:11" ht="19.5" customHeight="1">
      <c r="B21" s="419"/>
      <c r="C21" s="419"/>
      <c r="D21" s="419"/>
      <c r="E21" s="419"/>
      <c r="F21" s="419"/>
      <c r="G21" s="419"/>
      <c r="H21" s="419"/>
      <c r="I21" s="419"/>
      <c r="J21" s="419"/>
      <c r="K21" s="419"/>
    </row>
    <row r="22" spans="2:11" ht="25.15" customHeight="1">
      <c r="B22" s="420"/>
      <c r="C22" s="420"/>
      <c r="D22" s="420"/>
      <c r="E22" s="420"/>
      <c r="F22" s="420"/>
      <c r="G22" s="420"/>
      <c r="H22" s="420"/>
      <c r="I22" s="420"/>
      <c r="J22" s="420"/>
      <c r="K22" s="420"/>
    </row>
    <row r="23" spans="2:11" ht="14.45" customHeight="1">
      <c r="B23" s="420"/>
      <c r="C23" s="420"/>
      <c r="D23" s="420"/>
      <c r="E23" s="420"/>
      <c r="F23" s="420"/>
      <c r="G23" s="420"/>
      <c r="H23" s="420"/>
      <c r="I23" s="420"/>
      <c r="J23" s="420"/>
      <c r="K23" s="420"/>
    </row>
    <row r="24" spans="2:11" ht="14.45" customHeight="1">
      <c r="B24" s="420"/>
      <c r="C24" s="420"/>
      <c r="D24" s="420"/>
      <c r="E24" s="420"/>
      <c r="F24" s="420"/>
      <c r="G24" s="420"/>
      <c r="H24" s="420"/>
      <c r="I24" s="420"/>
      <c r="J24" s="420"/>
      <c r="K24" s="420"/>
    </row>
  </sheetData>
  <mergeCells count="18">
    <mergeCell ref="B2:K3"/>
    <mergeCell ref="B4:B7"/>
    <mergeCell ref="C4:K4"/>
    <mergeCell ref="C5:E5"/>
    <mergeCell ref="F5:H5"/>
    <mergeCell ref="I5:K5"/>
    <mergeCell ref="C6:C7"/>
    <mergeCell ref="D6:E6"/>
    <mergeCell ref="F6:F7"/>
    <mergeCell ref="G6:H6"/>
    <mergeCell ref="B20:K20"/>
    <mergeCell ref="B21:K21"/>
    <mergeCell ref="B22:K24"/>
    <mergeCell ref="I6:I7"/>
    <mergeCell ref="J6:K6"/>
    <mergeCell ref="B17:K17"/>
    <mergeCell ref="B18:K18"/>
    <mergeCell ref="B19:K19"/>
  </mergeCells>
  <pageMargins left="0.511811024" right="0.511811024" top="0.78740157499999996" bottom="0.78740157499999996" header="0.31496062000000002" footer="0.31496062000000002"/>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A2BBB-167C-44AE-AD91-8E36229EE9A0}">
  <sheetPr>
    <tabColor rgb="FF92D050"/>
  </sheetPr>
  <dimension ref="B2:K23"/>
  <sheetViews>
    <sheetView showGridLines="0" zoomScaleNormal="100" workbookViewId="0"/>
  </sheetViews>
  <sheetFormatPr defaultRowHeight="15" customHeight="1"/>
  <cols>
    <col min="1" max="1" width="1.85546875" style="43" customWidth="1"/>
    <col min="2" max="2" width="23.85546875" style="43" customWidth="1"/>
    <col min="3" max="3" width="10.28515625" style="43" bestFit="1" customWidth="1"/>
    <col min="4" max="4" width="5.42578125" style="43" bestFit="1" customWidth="1"/>
    <col min="5" max="5" width="7.140625" style="43" customWidth="1"/>
    <col min="6" max="6" width="9.5703125" style="43" customWidth="1"/>
    <col min="7" max="7" width="5.85546875" style="43" customWidth="1"/>
    <col min="8" max="8" width="6.7109375" style="43" customWidth="1"/>
    <col min="9" max="9" width="9.28515625" style="43" customWidth="1"/>
    <col min="10" max="10" width="5.85546875" style="43" customWidth="1"/>
    <col min="11" max="11" width="6.28515625" style="43" customWidth="1"/>
    <col min="12" max="16384" width="9.140625" style="43"/>
  </cols>
  <sheetData>
    <row r="2" spans="2:11" ht="14.45" customHeight="1">
      <c r="B2" s="364" t="s">
        <v>159</v>
      </c>
      <c r="C2" s="364"/>
      <c r="D2" s="364"/>
      <c r="E2" s="364"/>
      <c r="F2" s="364"/>
      <c r="G2" s="364"/>
      <c r="H2" s="364"/>
      <c r="I2" s="364"/>
      <c r="J2" s="364"/>
      <c r="K2" s="364"/>
    </row>
    <row r="3" spans="2:11" ht="3" customHeight="1">
      <c r="B3" s="440"/>
      <c r="C3" s="440"/>
      <c r="D3" s="440"/>
      <c r="E3" s="440"/>
      <c r="F3" s="440"/>
      <c r="G3" s="440"/>
      <c r="H3" s="440"/>
      <c r="I3" s="440"/>
      <c r="J3" s="440"/>
      <c r="K3" s="440"/>
    </row>
    <row r="4" spans="2:11" ht="17.25" customHeight="1">
      <c r="B4" s="365" t="s">
        <v>160</v>
      </c>
      <c r="C4" s="430" t="s">
        <v>115</v>
      </c>
      <c r="D4" s="430"/>
      <c r="E4" s="430"/>
      <c r="F4" s="430"/>
      <c r="G4" s="430"/>
      <c r="H4" s="430"/>
      <c r="I4" s="430"/>
      <c r="J4" s="430"/>
      <c r="K4" s="430"/>
    </row>
    <row r="5" spans="2:11" ht="20.25" customHeight="1">
      <c r="B5" s="435"/>
      <c r="C5" s="369" t="s">
        <v>8</v>
      </c>
      <c r="D5" s="436"/>
      <c r="E5" s="370"/>
      <c r="F5" s="430" t="s">
        <v>124</v>
      </c>
      <c r="G5" s="430"/>
      <c r="H5" s="372"/>
      <c r="I5" s="431" t="s">
        <v>125</v>
      </c>
      <c r="J5" s="371"/>
      <c r="K5" s="371"/>
    </row>
    <row r="6" spans="2:11" ht="14.25" customHeight="1">
      <c r="B6" s="435"/>
      <c r="C6" s="421" t="s">
        <v>6</v>
      </c>
      <c r="D6" s="436" t="s">
        <v>7</v>
      </c>
      <c r="E6" s="370"/>
      <c r="F6" s="421" t="s">
        <v>6</v>
      </c>
      <c r="G6" s="369" t="s">
        <v>7</v>
      </c>
      <c r="H6" s="370"/>
      <c r="I6" s="421" t="s">
        <v>6</v>
      </c>
      <c r="J6" s="423" t="s">
        <v>7</v>
      </c>
      <c r="K6" s="437"/>
    </row>
    <row r="7" spans="2:11" ht="44.25" customHeight="1">
      <c r="B7" s="366"/>
      <c r="C7" s="441"/>
      <c r="D7" s="109" t="s">
        <v>148</v>
      </c>
      <c r="E7" s="85" t="s">
        <v>541</v>
      </c>
      <c r="F7" s="441"/>
      <c r="G7" s="109" t="s">
        <v>8</v>
      </c>
      <c r="H7" s="85" t="s">
        <v>541</v>
      </c>
      <c r="I7" s="441"/>
      <c r="J7" s="109" t="s">
        <v>8</v>
      </c>
      <c r="K7" s="107" t="s">
        <v>541</v>
      </c>
    </row>
    <row r="8" spans="2:11" ht="21" customHeight="1">
      <c r="B8" s="119" t="s">
        <v>8</v>
      </c>
      <c r="C8" s="120">
        <f>SUM(C10:C14)</f>
        <v>13194470</v>
      </c>
      <c r="D8" s="121">
        <f t="shared" ref="D8:D14" si="0">C8/C$8*100</f>
        <v>100</v>
      </c>
      <c r="E8" s="121" t="s">
        <v>65</v>
      </c>
      <c r="F8" s="120">
        <f>SUM(F10:F14)</f>
        <v>7029736</v>
      </c>
      <c r="G8" s="121">
        <f>F8/F$8*100</f>
        <v>100</v>
      </c>
      <c r="H8" s="121" t="s">
        <v>65</v>
      </c>
      <c r="I8" s="120">
        <f>SUM(I10:I14)</f>
        <v>6164734</v>
      </c>
      <c r="J8" s="121">
        <f t="shared" ref="J8:J14" si="1">I8/I$8*100</f>
        <v>100</v>
      </c>
      <c r="K8" s="122" t="s">
        <v>65</v>
      </c>
    </row>
    <row r="9" spans="2:11" ht="23.25" customHeight="1">
      <c r="B9" s="123" t="s">
        <v>162</v>
      </c>
      <c r="C9" s="124">
        <f>SUM(C10:C12)</f>
        <v>8013034</v>
      </c>
      <c r="D9" s="122">
        <f t="shared" si="0"/>
        <v>60.730245322472221</v>
      </c>
      <c r="E9" s="122">
        <f>C9/(C$8-C$14)*100</f>
        <v>86.703815806515721</v>
      </c>
      <c r="F9" s="124">
        <f>SUM(F10:F12)</f>
        <v>4754279</v>
      </c>
      <c r="G9" s="122">
        <f>F9/F$8*100</f>
        <v>67.630975046573582</v>
      </c>
      <c r="H9" s="122">
        <f>F9/(F$8-F$14)*100</f>
        <v>90.459034584375203</v>
      </c>
      <c r="I9" s="124">
        <f>SUM(I10:I12)</f>
        <v>3258755</v>
      </c>
      <c r="J9" s="122">
        <f t="shared" si="1"/>
        <v>52.861242674866425</v>
      </c>
      <c r="K9" s="122">
        <f>I9/(I$8-I$14)*100</f>
        <v>81.752535861304764</v>
      </c>
    </row>
    <row r="10" spans="2:11" ht="35.25" customHeight="1">
      <c r="B10" s="114" t="s">
        <v>516</v>
      </c>
      <c r="C10" s="125">
        <v>727902</v>
      </c>
      <c r="D10" s="126">
        <f t="shared" si="0"/>
        <v>5.5167202623523339</v>
      </c>
      <c r="E10" s="126">
        <f t="shared" ref="E10:E13" si="2">C10/(C$8-C$14)*100</f>
        <v>7.8761528945458625</v>
      </c>
      <c r="F10" s="125">
        <v>518239</v>
      </c>
      <c r="G10" s="126">
        <f t="shared" ref="G10:G14" si="3">F10/F$8*100</f>
        <v>7.3720976150455728</v>
      </c>
      <c r="H10" s="126">
        <f t="shared" ref="H10:H13" si="4">F10/(F$8-F$14)*100</f>
        <v>9.8604645675973206</v>
      </c>
      <c r="I10" s="125">
        <v>209663</v>
      </c>
      <c r="J10" s="126">
        <f t="shared" si="1"/>
        <v>3.4010064343408817</v>
      </c>
      <c r="K10" s="126">
        <f t="shared" ref="K10:K13" si="5">I10/(I$8-I$14)*100</f>
        <v>5.2598252787609807</v>
      </c>
    </row>
    <row r="11" spans="2:11" ht="24">
      <c r="B11" s="114" t="s">
        <v>514</v>
      </c>
      <c r="C11" s="125">
        <v>1502501</v>
      </c>
      <c r="D11" s="126">
        <f t="shared" si="0"/>
        <v>11.387353944493412</v>
      </c>
      <c r="E11" s="126">
        <f t="shared" si="2"/>
        <v>16.257583576096856</v>
      </c>
      <c r="F11" s="125">
        <v>983611</v>
      </c>
      <c r="G11" s="126">
        <f t="shared" si="3"/>
        <v>13.992147073517414</v>
      </c>
      <c r="H11" s="126">
        <f t="shared" si="4"/>
        <v>18.715035753385926</v>
      </c>
      <c r="I11" s="125">
        <v>518890</v>
      </c>
      <c r="J11" s="126">
        <f t="shared" si="1"/>
        <v>8.4170703877896429</v>
      </c>
      <c r="K11" s="126">
        <f t="shared" si="5"/>
        <v>13.017417183271657</v>
      </c>
    </row>
    <row r="12" spans="2:11" ht="30" customHeight="1">
      <c r="B12" s="114" t="s">
        <v>515</v>
      </c>
      <c r="C12" s="125">
        <v>5782631</v>
      </c>
      <c r="D12" s="126">
        <f t="shared" si="0"/>
        <v>43.826171115626472</v>
      </c>
      <c r="E12" s="126">
        <f t="shared" si="2"/>
        <v>62.570079335873011</v>
      </c>
      <c r="F12" s="125">
        <v>3252429</v>
      </c>
      <c r="G12" s="126">
        <f t="shared" si="3"/>
        <v>46.266730358010598</v>
      </c>
      <c r="H12" s="126">
        <f t="shared" si="4"/>
        <v>61.883534263391972</v>
      </c>
      <c r="I12" s="125">
        <v>2530202</v>
      </c>
      <c r="J12" s="126">
        <f t="shared" si="1"/>
        <v>41.043165852735903</v>
      </c>
      <c r="K12" s="126">
        <f t="shared" si="5"/>
        <v>63.475293399272125</v>
      </c>
    </row>
    <row r="13" spans="2:11" ht="14.25">
      <c r="B13" s="116" t="s">
        <v>165</v>
      </c>
      <c r="C13" s="124">
        <v>1228813</v>
      </c>
      <c r="D13" s="122">
        <f t="shared" si="0"/>
        <v>9.3130910146447707</v>
      </c>
      <c r="E13" s="122">
        <f t="shared" si="2"/>
        <v>13.296184193484267</v>
      </c>
      <c r="F13" s="124">
        <v>501447</v>
      </c>
      <c r="G13" s="122">
        <f t="shared" si="3"/>
        <v>7.1332266247267322</v>
      </c>
      <c r="H13" s="122">
        <f t="shared" si="4"/>
        <v>9.5409654156247878</v>
      </c>
      <c r="I13" s="124">
        <v>727366</v>
      </c>
      <c r="J13" s="122">
        <f t="shared" si="1"/>
        <v>11.798822138960091</v>
      </c>
      <c r="K13" s="122">
        <f t="shared" si="5"/>
        <v>18.247464138695239</v>
      </c>
    </row>
    <row r="14" spans="2:11" ht="18.75" customHeight="1">
      <c r="B14" s="127" t="s">
        <v>157</v>
      </c>
      <c r="C14" s="128">
        <v>3952623</v>
      </c>
      <c r="D14" s="129">
        <f t="shared" si="0"/>
        <v>29.95666366288301</v>
      </c>
      <c r="E14" s="129" t="s">
        <v>65</v>
      </c>
      <c r="F14" s="128">
        <v>1774010</v>
      </c>
      <c r="G14" s="129">
        <f t="shared" si="3"/>
        <v>25.235798328699683</v>
      </c>
      <c r="H14" s="129" t="s">
        <v>65</v>
      </c>
      <c r="I14" s="128">
        <v>2178613</v>
      </c>
      <c r="J14" s="129">
        <f t="shared" si="1"/>
        <v>35.339935186173484</v>
      </c>
      <c r="K14" s="129" t="s">
        <v>65</v>
      </c>
    </row>
    <row r="15" spans="2:11" ht="6" customHeight="1">
      <c r="B15" s="438"/>
      <c r="C15" s="438"/>
      <c r="D15" s="438"/>
      <c r="E15" s="438"/>
      <c r="F15" s="438"/>
      <c r="G15" s="438"/>
      <c r="H15" s="438"/>
      <c r="I15" s="438"/>
      <c r="J15" s="438"/>
      <c r="K15" s="438"/>
    </row>
    <row r="16" spans="2:11" ht="24.75" customHeight="1">
      <c r="B16" s="424" t="s">
        <v>547</v>
      </c>
      <c r="C16" s="424"/>
      <c r="D16" s="424"/>
      <c r="E16" s="424"/>
      <c r="F16" s="424"/>
      <c r="G16" s="424"/>
      <c r="H16" s="424"/>
      <c r="I16" s="424"/>
      <c r="J16" s="424"/>
      <c r="K16" s="424"/>
    </row>
    <row r="17" spans="2:11" ht="12" customHeight="1">
      <c r="B17" s="424" t="s">
        <v>548</v>
      </c>
      <c r="C17" s="424"/>
      <c r="D17" s="424"/>
      <c r="E17" s="424"/>
      <c r="F17" s="424"/>
      <c r="G17" s="424"/>
      <c r="H17" s="424"/>
      <c r="I17" s="424"/>
      <c r="J17" s="424"/>
      <c r="K17" s="424"/>
    </row>
    <row r="18" spans="2:11" ht="39" customHeight="1">
      <c r="B18" s="424" t="s">
        <v>539</v>
      </c>
      <c r="C18" s="424"/>
      <c r="D18" s="424"/>
      <c r="E18" s="424"/>
      <c r="F18" s="424"/>
      <c r="G18" s="424"/>
      <c r="H18" s="424"/>
      <c r="I18" s="424"/>
      <c r="J18" s="424"/>
      <c r="K18" s="424"/>
    </row>
    <row r="19" spans="2:11" ht="11.45" customHeight="1">
      <c r="B19" s="439"/>
      <c r="C19" s="439"/>
      <c r="D19" s="439"/>
      <c r="E19" s="439"/>
      <c r="F19" s="439"/>
      <c r="G19" s="439"/>
      <c r="H19" s="439"/>
      <c r="I19" s="439"/>
      <c r="J19" s="439"/>
      <c r="K19" s="439"/>
    </row>
    <row r="20" spans="2:11" ht="19.5" customHeight="1">
      <c r="B20" s="419"/>
      <c r="C20" s="419"/>
      <c r="D20" s="419"/>
      <c r="E20" s="419"/>
      <c r="F20" s="419"/>
      <c r="G20" s="419"/>
      <c r="H20" s="419"/>
      <c r="I20" s="419"/>
      <c r="J20" s="419"/>
      <c r="K20" s="419"/>
    </row>
    <row r="21" spans="2:11" ht="21" customHeight="1">
      <c r="B21" s="420"/>
      <c r="C21" s="420"/>
      <c r="D21" s="420"/>
      <c r="E21" s="420"/>
      <c r="F21" s="420"/>
      <c r="G21" s="420"/>
      <c r="H21" s="420"/>
      <c r="I21" s="420"/>
      <c r="J21" s="420"/>
      <c r="K21" s="420"/>
    </row>
    <row r="22" spans="2:11" ht="14.45" customHeight="1">
      <c r="B22" s="420"/>
      <c r="C22" s="420"/>
      <c r="D22" s="420"/>
      <c r="E22" s="420"/>
      <c r="F22" s="420"/>
      <c r="G22" s="420"/>
      <c r="H22" s="420"/>
      <c r="I22" s="420"/>
      <c r="J22" s="420"/>
      <c r="K22" s="420"/>
    </row>
    <row r="23" spans="2:11" ht="14.45" customHeight="1">
      <c r="B23" s="420"/>
      <c r="C23" s="420"/>
      <c r="D23" s="420"/>
      <c r="E23" s="420"/>
      <c r="F23" s="420"/>
      <c r="G23" s="420"/>
      <c r="H23" s="420"/>
      <c r="I23" s="420"/>
      <c r="J23" s="420"/>
      <c r="K23" s="420"/>
    </row>
  </sheetData>
  <mergeCells count="19">
    <mergeCell ref="B2:K3"/>
    <mergeCell ref="F5:H5"/>
    <mergeCell ref="I5:K5"/>
    <mergeCell ref="C6:C7"/>
    <mergeCell ref="D6:E6"/>
    <mergeCell ref="F6:F7"/>
    <mergeCell ref="G6:H6"/>
    <mergeCell ref="I6:I7"/>
    <mergeCell ref="B21:K23"/>
    <mergeCell ref="C4:K4"/>
    <mergeCell ref="B4:B7"/>
    <mergeCell ref="B17:K17"/>
    <mergeCell ref="C5:E5"/>
    <mergeCell ref="J6:K6"/>
    <mergeCell ref="B15:K15"/>
    <mergeCell ref="B16:K16"/>
    <mergeCell ref="B18:K18"/>
    <mergeCell ref="B19:K19"/>
    <mergeCell ref="B20:K20"/>
  </mergeCells>
  <pageMargins left="0.511811024" right="0.511811024" top="0.78740157499999996" bottom="0.78740157499999996" header="0.31496062000000002" footer="0.31496062000000002"/>
  <pageSetup paperSize="9" orientation="portrait" r:id="rId1"/>
  <ignoredErrors>
    <ignoredError sqref="F8 I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26</vt:i4>
      </vt:variant>
      <vt:variant>
        <vt:lpstr>Intervalos Nomeados</vt:lpstr>
      </vt:variant>
      <vt:variant>
        <vt:i4>2</vt:i4>
      </vt:variant>
    </vt:vector>
  </HeadingPairs>
  <TitlesOfParts>
    <vt:vector size="28" baseType="lpstr">
      <vt:lpstr>Tabela 1</vt:lpstr>
      <vt:lpstr>Tabela 2</vt:lpstr>
      <vt:lpstr>Tabela 3 </vt:lpstr>
      <vt:lpstr>Tabela 4</vt:lpstr>
      <vt:lpstr>Tabela 5</vt:lpstr>
      <vt:lpstr>Tabela 6</vt:lpstr>
      <vt:lpstr>Tabela 7</vt:lpstr>
      <vt:lpstr>Tabela 8</vt:lpstr>
      <vt:lpstr>Tabela 9</vt:lpstr>
      <vt:lpstr>Tabela 9 vNovo Provisorio</vt:lpstr>
      <vt:lpstr>Tabela 10</vt:lpstr>
      <vt:lpstr>Tabela 11</vt:lpstr>
      <vt:lpstr>Tabela 12</vt:lpstr>
      <vt:lpstr>Tabela 13</vt:lpstr>
      <vt:lpstr>Tabela 14</vt:lpstr>
      <vt:lpstr>Tabela 15</vt:lpstr>
      <vt:lpstr>Tabela 16</vt:lpstr>
      <vt:lpstr>Tabela 17</vt:lpstr>
      <vt:lpstr>Tabela 18</vt:lpstr>
      <vt:lpstr>Tabela 19</vt:lpstr>
      <vt:lpstr>Tabela 20</vt:lpstr>
      <vt:lpstr>Tabela 21</vt:lpstr>
      <vt:lpstr>Tabela 22</vt:lpstr>
      <vt:lpstr>Tabela 23</vt:lpstr>
      <vt:lpstr>Tabela 24</vt:lpstr>
      <vt:lpstr>Tabela 25</vt:lpstr>
      <vt:lpstr>'Tabela 20'!_Ref145429241</vt:lpstr>
      <vt:lpstr>'Tabela 5'!Area_de_impressao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de Lima Sanfins</dc:creator>
  <cp:keywords/>
  <dc:description/>
  <cp:lastModifiedBy>Thiego</cp:lastModifiedBy>
  <cp:revision/>
  <dcterms:created xsi:type="dcterms:W3CDTF">2023-06-19T17:13:04Z</dcterms:created>
  <dcterms:modified xsi:type="dcterms:W3CDTF">2023-10-04T15:02:39Z</dcterms:modified>
  <cp:category/>
  <cp:contentStatus/>
</cp:coreProperties>
</file>